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acueducto con 315 mm." sheetId="1" r:id="rId1"/>
    <sheet name="acueducto con 355 mm." sheetId="2" r:id="rId2"/>
    <sheet name="acueducto con 250 mm. REBOMBEO" sheetId="3" r:id="rId3"/>
    <sheet name="Hoja1" sheetId="4" r:id="rId4"/>
  </sheets>
  <calcPr calcId="144525"/>
</workbook>
</file>

<file path=xl/calcChain.xml><?xml version="1.0" encoding="utf-8"?>
<calcChain xmlns="http://schemas.openxmlformats.org/spreadsheetml/2006/main">
  <c r="R10" i="3"/>
  <c r="P58"/>
  <c r="O60"/>
  <c r="H62" l="1"/>
  <c r="H57"/>
  <c r="H50"/>
  <c r="H48"/>
  <c r="H46"/>
  <c r="H44"/>
  <c r="J42"/>
  <c r="O30"/>
  <c r="E18"/>
  <c r="E17"/>
  <c r="M16"/>
  <c r="E16"/>
  <c r="M15"/>
  <c r="E15"/>
  <c r="M14"/>
  <c r="M17" s="1"/>
  <c r="E14"/>
  <c r="E13"/>
  <c r="E19" s="1"/>
  <c r="K7" s="1"/>
  <c r="M18" l="1"/>
  <c r="M19"/>
  <c r="F7" s="1"/>
  <c r="H66"/>
  <c r="O30" i="1"/>
  <c r="E63" i="3" l="1"/>
  <c r="F63" s="1"/>
  <c r="J63" s="1"/>
  <c r="E62"/>
  <c r="F62" s="1"/>
  <c r="J62" s="1"/>
  <c r="E58"/>
  <c r="F58" s="1"/>
  <c r="J58" s="1"/>
  <c r="E57"/>
  <c r="F57" s="1"/>
  <c r="J57" s="1"/>
  <c r="E53"/>
  <c r="F53" s="1"/>
  <c r="J53" s="1"/>
  <c r="E47"/>
  <c r="F47" s="1"/>
  <c r="J47" s="1"/>
  <c r="E46"/>
  <c r="F46" s="1"/>
  <c r="J46" s="1"/>
  <c r="E64"/>
  <c r="F64" s="1"/>
  <c r="J64" s="1"/>
  <c r="E59"/>
  <c r="F59" s="1"/>
  <c r="J59" s="1"/>
  <c r="E54"/>
  <c r="F54" s="1"/>
  <c r="J54" s="1"/>
  <c r="E49"/>
  <c r="F49" s="1"/>
  <c r="J49" s="1"/>
  <c r="E48"/>
  <c r="F48" s="1"/>
  <c r="J48" s="1"/>
  <c r="E42"/>
  <c r="F42" s="1"/>
  <c r="I7"/>
  <c r="J7" s="1"/>
  <c r="L7" s="1"/>
  <c r="N7" s="1"/>
  <c r="O7" s="1"/>
  <c r="O8" s="1"/>
  <c r="E65"/>
  <c r="F65" s="1"/>
  <c r="J65" s="1"/>
  <c r="E60"/>
  <c r="F60" s="1"/>
  <c r="J60" s="1"/>
  <c r="E55"/>
  <c r="F55" s="1"/>
  <c r="J55" s="1"/>
  <c r="E51"/>
  <c r="F51" s="1"/>
  <c r="J51" s="1"/>
  <c r="E50"/>
  <c r="F50" s="1"/>
  <c r="J50" s="1"/>
  <c r="E43"/>
  <c r="F43" s="1"/>
  <c r="J43" s="1"/>
  <c r="E66"/>
  <c r="F66" s="1"/>
  <c r="J66" s="1"/>
  <c r="E61"/>
  <c r="F61" s="1"/>
  <c r="J61" s="1"/>
  <c r="E56"/>
  <c r="F56" s="1"/>
  <c r="J56" s="1"/>
  <c r="E52"/>
  <c r="F52" s="1"/>
  <c r="J52" s="1"/>
  <c r="E45"/>
  <c r="F45" s="1"/>
  <c r="J45" s="1"/>
  <c r="E44"/>
  <c r="F44" s="1"/>
  <c r="J44" s="1"/>
  <c r="H66" i="1"/>
  <c r="F66"/>
  <c r="J66" s="1"/>
  <c r="E66"/>
  <c r="E65"/>
  <c r="F65" s="1"/>
  <c r="J65" s="1"/>
  <c r="F64"/>
  <c r="E64"/>
  <c r="E63"/>
  <c r="F63" s="1"/>
  <c r="J63" s="1"/>
  <c r="H62"/>
  <c r="E62"/>
  <c r="F62" s="1"/>
  <c r="F61"/>
  <c r="E61"/>
  <c r="E60"/>
  <c r="F60" s="1"/>
  <c r="J60" s="1"/>
  <c r="F59"/>
  <c r="E59"/>
  <c r="E58"/>
  <c r="F58" s="1"/>
  <c r="J58" s="1"/>
  <c r="H57"/>
  <c r="E57"/>
  <c r="F57" s="1"/>
  <c r="F56"/>
  <c r="E56"/>
  <c r="E55"/>
  <c r="F55" s="1"/>
  <c r="J55" s="1"/>
  <c r="F54"/>
  <c r="E54"/>
  <c r="E53"/>
  <c r="F53" s="1"/>
  <c r="J53" s="1"/>
  <c r="F52"/>
  <c r="E52"/>
  <c r="E51"/>
  <c r="F51" s="1"/>
  <c r="J51" s="1"/>
  <c r="H50"/>
  <c r="E50"/>
  <c r="F50" s="1"/>
  <c r="F49"/>
  <c r="E49"/>
  <c r="H48"/>
  <c r="F48"/>
  <c r="E48"/>
  <c r="E47"/>
  <c r="F47" s="1"/>
  <c r="J47" s="1"/>
  <c r="H46"/>
  <c r="J48" s="1"/>
  <c r="E46"/>
  <c r="F46" s="1"/>
  <c r="F45"/>
  <c r="E45"/>
  <c r="J44"/>
  <c r="H44"/>
  <c r="F44"/>
  <c r="E44"/>
  <c r="E43"/>
  <c r="F43" s="1"/>
  <c r="J43" s="1"/>
  <c r="J42"/>
  <c r="F42"/>
  <c r="E42"/>
  <c r="H65" i="2"/>
  <c r="H43"/>
  <c r="H45"/>
  <c r="H47"/>
  <c r="H49"/>
  <c r="H56"/>
  <c r="H61"/>
  <c r="J41"/>
  <c r="E18"/>
  <c r="E17"/>
  <c r="M16"/>
  <c r="E16"/>
  <c r="M15"/>
  <c r="E15"/>
  <c r="M14"/>
  <c r="E14"/>
  <c r="E13"/>
  <c r="M16" i="1"/>
  <c r="M15"/>
  <c r="M14"/>
  <c r="E17"/>
  <c r="E18"/>
  <c r="E16"/>
  <c r="E15"/>
  <c r="E14"/>
  <c r="E13"/>
  <c r="J62" l="1"/>
  <c r="J49"/>
  <c r="J50"/>
  <c r="J54"/>
  <c r="J59"/>
  <c r="J64"/>
  <c r="J45"/>
  <c r="J46"/>
  <c r="J52"/>
  <c r="J56"/>
  <c r="J57"/>
  <c r="J61"/>
  <c r="M17"/>
  <c r="E19" i="2"/>
  <c r="K7" s="1"/>
  <c r="M17"/>
  <c r="M19" s="1"/>
  <c r="F7" s="1"/>
  <c r="M19" i="1"/>
  <c r="F7" s="1"/>
  <c r="I7" s="1"/>
  <c r="J7" s="1"/>
  <c r="M18"/>
  <c r="M18" i="2"/>
  <c r="E19" i="1"/>
  <c r="K7" s="1"/>
  <c r="L7" l="1"/>
  <c r="N7" s="1"/>
  <c r="O7" s="1"/>
  <c r="O8" s="1"/>
  <c r="I7" i="2"/>
  <c r="J7" s="1"/>
  <c r="L7" s="1"/>
  <c r="N7" s="1"/>
  <c r="O7" s="1"/>
  <c r="O8" s="1"/>
  <c r="E61"/>
  <c r="F61" s="1"/>
  <c r="J61" s="1"/>
  <c r="E47"/>
  <c r="F47" s="1"/>
  <c r="J47" s="1"/>
  <c r="E49"/>
  <c r="F49" s="1"/>
  <c r="J49" s="1"/>
  <c r="E43"/>
  <c r="F43" s="1"/>
  <c r="J43" s="1"/>
  <c r="E65"/>
  <c r="F65" s="1"/>
  <c r="J65" s="1"/>
  <c r="E63"/>
  <c r="F63" s="1"/>
  <c r="J63" s="1"/>
  <c r="E60"/>
  <c r="F60" s="1"/>
  <c r="J60" s="1"/>
  <c r="E58"/>
  <c r="F58" s="1"/>
  <c r="J58" s="1"/>
  <c r="E55"/>
  <c r="F55" s="1"/>
  <c r="J55" s="1"/>
  <c r="E53"/>
  <c r="F53" s="1"/>
  <c r="J53" s="1"/>
  <c r="E51"/>
  <c r="F51" s="1"/>
  <c r="J51" s="1"/>
  <c r="E48"/>
  <c r="F48" s="1"/>
  <c r="J48" s="1"/>
  <c r="E44"/>
  <c r="F44" s="1"/>
  <c r="J44" s="1"/>
  <c r="E41"/>
  <c r="F41" s="1"/>
  <c r="E56"/>
  <c r="F56" s="1"/>
  <c r="J56" s="1"/>
  <c r="E45"/>
  <c r="F45" s="1"/>
  <c r="J45" s="1"/>
  <c r="E64"/>
  <c r="F64" s="1"/>
  <c r="J64" s="1"/>
  <c r="E62"/>
  <c r="F62" s="1"/>
  <c r="J62" s="1"/>
  <c r="E59"/>
  <c r="F59" s="1"/>
  <c r="J59" s="1"/>
  <c r="E57"/>
  <c r="F57" s="1"/>
  <c r="J57" s="1"/>
  <c r="E54"/>
  <c r="F54" s="1"/>
  <c r="J54" s="1"/>
  <c r="E52"/>
  <c r="F52" s="1"/>
  <c r="J52" s="1"/>
  <c r="E50"/>
  <c r="F50" s="1"/>
  <c r="J50" s="1"/>
  <c r="E46"/>
  <c r="F46" s="1"/>
  <c r="J46" s="1"/>
  <c r="E42"/>
  <c r="F42" s="1"/>
  <c r="J42" s="1"/>
</calcChain>
</file>

<file path=xl/sharedStrings.xml><?xml version="1.0" encoding="utf-8"?>
<sst xmlns="http://schemas.openxmlformats.org/spreadsheetml/2006/main" count="296" uniqueCount="81">
  <si>
    <t>TRAMO</t>
  </si>
  <si>
    <t>LON (mt)</t>
  </si>
  <si>
    <t>ф (mm)</t>
  </si>
  <si>
    <t>COEF. "C"</t>
  </si>
  <si>
    <t>Q (lt/seg)</t>
  </si>
  <si>
    <t>COTA</t>
  </si>
  <si>
    <t>PÉRDIDA DE CARGA</t>
  </si>
  <si>
    <t>hf (tramo)</t>
  </si>
  <si>
    <t>ACCESORIOS</t>
  </si>
  <si>
    <t>hf (total)</t>
  </si>
  <si>
    <t>LINEA PIEZOMÉTRICA</t>
  </si>
  <si>
    <t>INICIAL</t>
  </si>
  <si>
    <t>FINAL</t>
  </si>
  <si>
    <t>hf (unitario)</t>
  </si>
  <si>
    <t>0 + 000</t>
  </si>
  <si>
    <t>PRESIÓN DE LLEGADA</t>
  </si>
  <si>
    <t>CODO 45</t>
  </si>
  <si>
    <t>u</t>
  </si>
  <si>
    <t>CODO 90 RL</t>
  </si>
  <si>
    <t>v. COMP.</t>
  </si>
  <si>
    <t>v. TRIP. REP.</t>
  </si>
  <si>
    <t>v. AIRE</t>
  </si>
  <si>
    <t>v. DRENJ.</t>
  </si>
  <si>
    <t>8 + 900</t>
  </si>
  <si>
    <t>GOBIERNO MUNICIPAL DE LOMAS DE SARGENTILLO</t>
  </si>
  <si>
    <t>DETERMINACIÓN DE PÉRDIDAS DE CARGA EN EL RECORRIDO DEL ACUEDUCTO</t>
  </si>
  <si>
    <t>hf (mt)</t>
  </si>
  <si>
    <t>mts.</t>
  </si>
  <si>
    <t>DAULE - LOMAS DE SARGENTILLO</t>
  </si>
  <si>
    <t>altura a vencer</t>
  </si>
  <si>
    <t>INCREMENTO PARA 25 AÑOS</t>
  </si>
  <si>
    <t>DEMANDA CONTRA INCENDIO</t>
  </si>
  <si>
    <t>lt/hb/dia</t>
  </si>
  <si>
    <t>lt/hb/año</t>
  </si>
  <si>
    <t>POBLACIÓN</t>
  </si>
  <si>
    <t>hb.</t>
  </si>
  <si>
    <t>lt/día</t>
  </si>
  <si>
    <t>m3./día</t>
  </si>
  <si>
    <t>lt/seg</t>
  </si>
  <si>
    <t>ACCES</t>
  </si>
  <si>
    <t>DEMANDA DIARIA PROMEDIO (actual)</t>
  </si>
  <si>
    <t>CAUDAL</t>
  </si>
  <si>
    <t>DEMANDA AL FINAL DE PERÍODO DE DISEÑO</t>
  </si>
  <si>
    <t>ING. RAFAEL CASTILLA GALARZA</t>
  </si>
  <si>
    <t>REG. PROF. # 09 - 01 - 033</t>
  </si>
  <si>
    <t>CONSULTOR</t>
  </si>
  <si>
    <t>0+500</t>
  </si>
  <si>
    <t>1+000</t>
  </si>
  <si>
    <t>1+500</t>
  </si>
  <si>
    <t>2+000</t>
  </si>
  <si>
    <t>2+500</t>
  </si>
  <si>
    <t>3+000</t>
  </si>
  <si>
    <t>3+500</t>
  </si>
  <si>
    <t>4+500</t>
  </si>
  <si>
    <t>5+000</t>
  </si>
  <si>
    <t>5+500</t>
  </si>
  <si>
    <t>6+000</t>
  </si>
  <si>
    <t>7+000</t>
  </si>
  <si>
    <t>7+500</t>
  </si>
  <si>
    <t>8+000</t>
  </si>
  <si>
    <t>8+500</t>
  </si>
  <si>
    <t>hf</t>
  </si>
  <si>
    <t>0+000</t>
  </si>
  <si>
    <t>hf (par)</t>
  </si>
  <si>
    <t>L</t>
  </si>
  <si>
    <t>6+500</t>
  </si>
  <si>
    <t>8+900</t>
  </si>
  <si>
    <t>(mt)</t>
  </si>
  <si>
    <t xml:space="preserve"> (mt)</t>
  </si>
  <si>
    <t>LINEA PIEZOMETRICA</t>
  </si>
  <si>
    <t>PIEZAS ESPECIALES</t>
  </si>
  <si>
    <t>0+880</t>
  </si>
  <si>
    <t>V.D</t>
  </si>
  <si>
    <t>1+420</t>
  </si>
  <si>
    <t>2+400</t>
  </si>
  <si>
    <t>4+000</t>
  </si>
  <si>
    <t>5+216</t>
  </si>
  <si>
    <t>7+084</t>
  </si>
  <si>
    <t>1+826</t>
  </si>
  <si>
    <t>V.A.</t>
  </si>
  <si>
    <t>ABCISAGE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</si>
</sst>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0.00000"/>
  </numFmts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4" fontId="2" fillId="0" borderId="18" xfId="1" applyFont="1" applyBorder="1"/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4" fontId="2" fillId="0" borderId="22" xfId="1" applyFont="1" applyBorder="1"/>
    <xf numFmtId="0" fontId="2" fillId="0" borderId="23" xfId="0" applyFont="1" applyBorder="1" applyAlignment="1">
      <alignment horizontal="center" vertical="center"/>
    </xf>
    <xf numFmtId="164" fontId="2" fillId="0" borderId="20" xfId="0" applyNumberFormat="1" applyFont="1" applyBorder="1"/>
    <xf numFmtId="164" fontId="1" fillId="0" borderId="5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2" xfId="0" applyFont="1" applyBorder="1"/>
    <xf numFmtId="0" fontId="1" fillId="0" borderId="33" xfId="0" applyFont="1" applyBorder="1"/>
    <xf numFmtId="164" fontId="1" fillId="0" borderId="12" xfId="1" applyFont="1" applyBorder="1"/>
    <xf numFmtId="0" fontId="1" fillId="0" borderId="34" xfId="0" applyFont="1" applyBorder="1" applyAlignment="1">
      <alignment horizontal="center" vertical="center"/>
    </xf>
    <xf numFmtId="164" fontId="1" fillId="0" borderId="14" xfId="1" applyFont="1" applyBorder="1"/>
    <xf numFmtId="0" fontId="1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left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6" xfId="0" applyFont="1" applyBorder="1" applyAlignment="1">
      <alignment horizontal="left" vertical="center"/>
    </xf>
    <xf numFmtId="0" fontId="1" fillId="0" borderId="44" xfId="0" applyFont="1" applyBorder="1"/>
    <xf numFmtId="2" fontId="7" fillId="0" borderId="6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left" vertical="center"/>
    </xf>
    <xf numFmtId="0" fontId="1" fillId="0" borderId="4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47" xfId="0" applyFont="1" applyBorder="1" applyAlignment="1">
      <alignment horizontal="center" vertical="center"/>
    </xf>
    <xf numFmtId="165" fontId="1" fillId="0" borderId="0" xfId="0" applyNumberFormat="1" applyFont="1"/>
    <xf numFmtId="2" fontId="1" fillId="0" borderId="0" xfId="0" applyNumberFormat="1" applyFont="1"/>
    <xf numFmtId="0" fontId="1" fillId="0" borderId="49" xfId="0" applyFont="1" applyBorder="1" applyAlignment="1">
      <alignment horizontal="center"/>
    </xf>
    <xf numFmtId="0" fontId="1" fillId="0" borderId="49" xfId="0" applyFont="1" applyBorder="1"/>
    <xf numFmtId="0" fontId="1" fillId="0" borderId="49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2" xfId="0" applyFont="1" applyBorder="1"/>
    <xf numFmtId="0" fontId="1" fillId="0" borderId="54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65" fontId="1" fillId="0" borderId="32" xfId="0" applyNumberFormat="1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12" xfId="0" applyFont="1" applyBorder="1"/>
    <xf numFmtId="165" fontId="1" fillId="0" borderId="12" xfId="0" applyNumberFormat="1" applyFont="1" applyBorder="1" applyAlignment="1">
      <alignment horizontal="center" vertical="center"/>
    </xf>
    <xf numFmtId="2" fontId="1" fillId="0" borderId="58" xfId="0" applyNumberFormat="1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0" xfId="0" applyFont="1" applyBorder="1"/>
    <xf numFmtId="165" fontId="1" fillId="0" borderId="60" xfId="0" applyNumberFormat="1" applyFont="1" applyBorder="1" applyAlignment="1">
      <alignment horizontal="center" vertical="center"/>
    </xf>
    <xf numFmtId="2" fontId="1" fillId="0" borderId="61" xfId="0" applyNumberFormat="1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4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2" borderId="0" xfId="0" applyFont="1" applyFill="1"/>
    <xf numFmtId="0" fontId="5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Q73"/>
  <sheetViews>
    <sheetView tabSelected="1" topLeftCell="A5" workbookViewId="0">
      <selection sqref="A1:O28"/>
    </sheetView>
  </sheetViews>
  <sheetFormatPr baseColWidth="10" defaultRowHeight="12.75"/>
  <cols>
    <col min="1" max="1" width="10.28515625" style="1" customWidth="1"/>
    <col min="2" max="2" width="8.42578125" style="1" customWidth="1"/>
    <col min="3" max="4" width="7.28515625" style="1" customWidth="1"/>
    <col min="5" max="5" width="9" style="1" customWidth="1"/>
    <col min="6" max="6" width="8.85546875" style="1" customWidth="1"/>
    <col min="7" max="7" width="9.7109375" style="1" customWidth="1"/>
    <col min="8" max="8" width="9.140625" style="1" customWidth="1"/>
    <col min="9" max="9" width="9.85546875" style="1" customWidth="1"/>
    <col min="10" max="10" width="10" style="1" customWidth="1"/>
    <col min="11" max="11" width="9.140625" style="1" customWidth="1"/>
    <col min="12" max="12" width="8.42578125" style="1" customWidth="1"/>
    <col min="13" max="13" width="14.85546875" style="1" customWidth="1"/>
    <col min="14" max="14" width="7.85546875" style="1" customWidth="1"/>
    <col min="15" max="15" width="10.42578125" style="1" customWidth="1"/>
    <col min="16" max="16384" width="11.42578125" style="1"/>
  </cols>
  <sheetData>
    <row r="1" spans="1:17" ht="18.75">
      <c r="A1" s="78" t="s">
        <v>24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7" ht="18.75">
      <c r="A2" s="78" t="s">
        <v>25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7">
      <c r="A3" s="1" t="s">
        <v>28</v>
      </c>
    </row>
    <row r="4" spans="1:17" ht="13.5" thickBot="1"/>
    <row r="5" spans="1:17" ht="27" customHeight="1" thickTop="1" thickBot="1">
      <c r="A5" s="84" t="s">
        <v>0</v>
      </c>
      <c r="B5" s="84"/>
      <c r="C5" s="84" t="s">
        <v>1</v>
      </c>
      <c r="D5" s="84" t="s">
        <v>2</v>
      </c>
      <c r="E5" s="84" t="s">
        <v>3</v>
      </c>
      <c r="F5" s="84" t="s">
        <v>4</v>
      </c>
      <c r="G5" s="83" t="s">
        <v>5</v>
      </c>
      <c r="H5" s="83"/>
      <c r="I5" s="83" t="s">
        <v>6</v>
      </c>
      <c r="J5" s="83"/>
      <c r="K5" s="83"/>
      <c r="L5" s="83"/>
      <c r="M5" s="83" t="s">
        <v>10</v>
      </c>
      <c r="N5" s="83"/>
      <c r="O5" s="81" t="s">
        <v>15</v>
      </c>
    </row>
    <row r="6" spans="1:17" ht="14.25" thickTop="1" thickBot="1">
      <c r="A6" s="85"/>
      <c r="B6" s="85"/>
      <c r="C6" s="85"/>
      <c r="D6" s="85"/>
      <c r="E6" s="85"/>
      <c r="F6" s="85"/>
      <c r="G6" s="3" t="s">
        <v>11</v>
      </c>
      <c r="H6" s="3" t="s">
        <v>12</v>
      </c>
      <c r="I6" s="3" t="s">
        <v>13</v>
      </c>
      <c r="J6" s="3" t="s">
        <v>7</v>
      </c>
      <c r="K6" s="3" t="s">
        <v>39</v>
      </c>
      <c r="L6" s="3" t="s">
        <v>9</v>
      </c>
      <c r="M6" s="3" t="s">
        <v>11</v>
      </c>
      <c r="N6" s="3" t="s">
        <v>12</v>
      </c>
      <c r="O6" s="82"/>
    </row>
    <row r="7" spans="1:17" ht="13.5" thickTop="1">
      <c r="A7" s="4" t="s">
        <v>14</v>
      </c>
      <c r="B7" s="5" t="s">
        <v>23</v>
      </c>
      <c r="C7" s="5">
        <v>8900</v>
      </c>
      <c r="D7" s="5">
        <v>315</v>
      </c>
      <c r="E7" s="5">
        <v>150</v>
      </c>
      <c r="F7" s="24">
        <f>M19</f>
        <v>49.108333333333334</v>
      </c>
      <c r="G7" s="6">
        <v>9.4</v>
      </c>
      <c r="H7" s="5">
        <v>21.1</v>
      </c>
      <c r="I7" s="25">
        <f>10.674*(F7/1000)^1.852/(E7^1.852*(D7/1000)^4.871)</f>
        <v>1.0422091949016778E-3</v>
      </c>
      <c r="J7" s="6">
        <f>I7*C7</f>
        <v>9.2756618346249322</v>
      </c>
      <c r="K7" s="5">
        <f>E19</f>
        <v>2.5499999999999998</v>
      </c>
      <c r="L7" s="6">
        <f>J7+K7</f>
        <v>11.825661834624931</v>
      </c>
      <c r="M7" s="5">
        <v>34.75</v>
      </c>
      <c r="N7" s="6">
        <f>M7-L7</f>
        <v>22.924338165375069</v>
      </c>
      <c r="O7" s="44">
        <f>N7-H7</f>
        <v>1.8243381653750674</v>
      </c>
    </row>
    <row r="8" spans="1:17" ht="13.5" thickBot="1">
      <c r="A8" s="7"/>
      <c r="B8" s="8"/>
      <c r="C8" s="8"/>
      <c r="D8" s="8"/>
      <c r="E8" s="8"/>
      <c r="F8" s="8"/>
      <c r="G8" s="79" t="s">
        <v>29</v>
      </c>
      <c r="H8" s="80"/>
      <c r="I8" s="16">
        <v>0.7</v>
      </c>
      <c r="J8" s="8"/>
      <c r="K8" s="8"/>
      <c r="L8" s="8"/>
      <c r="M8" s="8"/>
      <c r="N8" s="8"/>
      <c r="O8" s="45">
        <f>O7-I8</f>
        <v>1.1243381653750675</v>
      </c>
    </row>
    <row r="9" spans="1:17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7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7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7" ht="13.5" thickBot="1">
      <c r="A12" s="9" t="s">
        <v>8</v>
      </c>
      <c r="B12" s="10" t="s">
        <v>26</v>
      </c>
      <c r="C12" s="10" t="s">
        <v>17</v>
      </c>
      <c r="D12" s="10"/>
      <c r="E12" s="10" t="s">
        <v>9</v>
      </c>
      <c r="F12" s="2"/>
      <c r="G12" s="2"/>
      <c r="H12" s="2"/>
      <c r="I12" s="2"/>
      <c r="J12" s="2"/>
      <c r="K12" s="2"/>
      <c r="L12" s="2"/>
      <c r="M12" s="2"/>
      <c r="N12" s="2"/>
      <c r="Q12" s="2"/>
    </row>
    <row r="13" spans="1:17">
      <c r="A13" s="11" t="s">
        <v>16</v>
      </c>
      <c r="B13" s="11">
        <v>0.2</v>
      </c>
      <c r="C13" s="11">
        <v>3</v>
      </c>
      <c r="D13" s="11"/>
      <c r="E13" s="11">
        <f>C13*B13</f>
        <v>0.60000000000000009</v>
      </c>
      <c r="F13" s="2"/>
      <c r="G13" s="41"/>
      <c r="H13" s="42" t="s">
        <v>34</v>
      </c>
      <c r="I13" s="34"/>
      <c r="J13" s="35"/>
      <c r="K13" s="27">
        <v>23572</v>
      </c>
      <c r="L13" s="27"/>
      <c r="M13" s="28"/>
      <c r="N13" s="29"/>
    </row>
    <row r="14" spans="1:17">
      <c r="A14" s="12" t="s">
        <v>18</v>
      </c>
      <c r="B14" s="12"/>
      <c r="C14" s="12">
        <v>4</v>
      </c>
      <c r="D14" s="12"/>
      <c r="E14" s="12">
        <f>C14*B14</f>
        <v>0</v>
      </c>
      <c r="F14" s="2"/>
      <c r="G14" s="2"/>
      <c r="H14" s="36" t="s">
        <v>40</v>
      </c>
      <c r="I14" s="37"/>
      <c r="J14" s="38"/>
      <c r="K14" s="12">
        <v>120</v>
      </c>
      <c r="L14" s="12" t="s">
        <v>32</v>
      </c>
      <c r="M14" s="30">
        <f>K13*K14</f>
        <v>2828640</v>
      </c>
      <c r="N14" s="31" t="s">
        <v>36</v>
      </c>
      <c r="O14" s="95" t="s">
        <v>41</v>
      </c>
    </row>
    <row r="15" spans="1:17">
      <c r="A15" s="12" t="s">
        <v>19</v>
      </c>
      <c r="B15" s="12">
        <v>0.2</v>
      </c>
      <c r="C15" s="12">
        <v>3</v>
      </c>
      <c r="D15" s="12"/>
      <c r="E15" s="12">
        <f>C15*B15</f>
        <v>0.60000000000000009</v>
      </c>
      <c r="F15" s="2"/>
      <c r="G15" s="2"/>
      <c r="H15" s="36" t="s">
        <v>30</v>
      </c>
      <c r="I15" s="37"/>
      <c r="J15" s="38"/>
      <c r="K15" s="12">
        <v>2</v>
      </c>
      <c r="L15" s="12" t="s">
        <v>33</v>
      </c>
      <c r="M15" s="30">
        <f>K13*K15*25</f>
        <v>1178600</v>
      </c>
      <c r="N15" s="31" t="s">
        <v>36</v>
      </c>
      <c r="O15" s="95"/>
    </row>
    <row r="16" spans="1:17" ht="13.5" thickBot="1">
      <c r="A16" s="12" t="s">
        <v>20</v>
      </c>
      <c r="B16" s="12">
        <v>0.4</v>
      </c>
      <c r="C16" s="12">
        <v>1</v>
      </c>
      <c r="D16" s="12"/>
      <c r="E16" s="12">
        <f>C16*B16</f>
        <v>0.4</v>
      </c>
      <c r="F16" s="2"/>
      <c r="G16" s="2"/>
      <c r="H16" s="39" t="s">
        <v>31</v>
      </c>
      <c r="I16" s="40"/>
      <c r="J16" s="17"/>
      <c r="K16" s="14">
        <v>10</v>
      </c>
      <c r="L16" s="8" t="s">
        <v>32</v>
      </c>
      <c r="M16" s="32">
        <f>K13*K16</f>
        <v>235720</v>
      </c>
      <c r="N16" s="33" t="s">
        <v>36</v>
      </c>
      <c r="O16" s="95"/>
    </row>
    <row r="17" spans="1:15" ht="16.5" thickTop="1" thickBot="1">
      <c r="A17" s="12" t="s">
        <v>21</v>
      </c>
      <c r="B17" s="12">
        <v>0.2</v>
      </c>
      <c r="C17" s="12">
        <v>1</v>
      </c>
      <c r="D17" s="12"/>
      <c r="E17" s="12">
        <f t="shared" ref="E17:E18" si="0">C17*B17</f>
        <v>0.2</v>
      </c>
      <c r="F17" s="2"/>
      <c r="G17" s="2"/>
      <c r="H17" s="86" t="s">
        <v>42</v>
      </c>
      <c r="I17" s="87"/>
      <c r="J17" s="87"/>
      <c r="K17" s="88"/>
      <c r="L17" s="2"/>
      <c r="M17" s="18">
        <f>SUM(M14:M16)</f>
        <v>4242960</v>
      </c>
      <c r="N17" s="19" t="s">
        <v>36</v>
      </c>
    </row>
    <row r="18" spans="1:15" ht="15.75" thickBot="1">
      <c r="A18" s="13" t="s">
        <v>22</v>
      </c>
      <c r="B18" s="13">
        <v>0.15</v>
      </c>
      <c r="C18" s="13">
        <v>5</v>
      </c>
      <c r="D18" s="13"/>
      <c r="E18" s="14">
        <f t="shared" si="0"/>
        <v>0.75</v>
      </c>
      <c r="F18" s="2"/>
      <c r="G18" s="2"/>
      <c r="H18" s="89"/>
      <c r="I18" s="90"/>
      <c r="J18" s="90"/>
      <c r="K18" s="91"/>
      <c r="L18" s="2"/>
      <c r="M18" s="21">
        <f>M17/1000</f>
        <v>4242.96</v>
      </c>
      <c r="N18" s="22" t="s">
        <v>37</v>
      </c>
    </row>
    <row r="19" spans="1:15" ht="15.75" thickBot="1">
      <c r="E19" s="15">
        <f>SUM(E13:E18)</f>
        <v>2.5499999999999998</v>
      </c>
      <c r="F19" s="49" t="s">
        <v>27</v>
      </c>
      <c r="G19" s="2"/>
      <c r="H19" s="92"/>
      <c r="I19" s="93"/>
      <c r="J19" s="93"/>
      <c r="K19" s="94"/>
      <c r="M19" s="23">
        <f>M17/86400</f>
        <v>49.108333333333334</v>
      </c>
      <c r="N19" s="20" t="s">
        <v>38</v>
      </c>
    </row>
    <row r="25" spans="1:15">
      <c r="A25" s="43"/>
      <c r="B25" s="43"/>
      <c r="C25" s="43"/>
    </row>
    <row r="26" spans="1:15">
      <c r="A26" s="96" t="s">
        <v>43</v>
      </c>
      <c r="B26" s="96"/>
      <c r="C26" s="96"/>
    </row>
    <row r="27" spans="1:15">
      <c r="A27" s="96" t="s">
        <v>45</v>
      </c>
      <c r="B27" s="96"/>
      <c r="C27" s="96"/>
    </row>
    <row r="28" spans="1:15">
      <c r="A28" s="96" t="s">
        <v>44</v>
      </c>
      <c r="B28" s="96"/>
      <c r="C28" s="96"/>
    </row>
    <row r="29" spans="1:15">
      <c r="A29" s="48"/>
      <c r="B29" s="48"/>
      <c r="C29" s="48"/>
    </row>
    <row r="30" spans="1:15">
      <c r="A30" s="48"/>
      <c r="B30" s="48"/>
      <c r="C30" s="48"/>
      <c r="O30" s="1">
        <f>2000-174</f>
        <v>1826</v>
      </c>
    </row>
    <row r="31" spans="1:15">
      <c r="A31" s="48"/>
      <c r="B31" s="48"/>
      <c r="C31" s="48"/>
    </row>
    <row r="32" spans="1:15">
      <c r="A32" s="48"/>
      <c r="B32" s="48"/>
      <c r="C32" s="48"/>
    </row>
    <row r="33" spans="1:15">
      <c r="A33" s="48"/>
      <c r="B33" s="48"/>
      <c r="C33" s="48"/>
    </row>
    <row r="34" spans="1:15">
      <c r="A34" s="48"/>
      <c r="B34" s="48"/>
      <c r="C34" s="48"/>
    </row>
    <row r="37" spans="1:15" ht="18.75">
      <c r="A37" s="78" t="s">
        <v>24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</row>
    <row r="38" spans="1:15" ht="18.75">
      <c r="A38" s="78" t="s">
        <v>25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</row>
    <row r="39" spans="1:15" ht="13.5" thickBot="1"/>
    <row r="40" spans="1:15" ht="25.5" customHeight="1">
      <c r="B40" s="99" t="s">
        <v>80</v>
      </c>
      <c r="C40" s="52" t="s">
        <v>64</v>
      </c>
      <c r="D40" s="53"/>
      <c r="E40" s="52" t="s">
        <v>61</v>
      </c>
      <c r="F40" s="54" t="s">
        <v>63</v>
      </c>
      <c r="G40" s="101" t="s">
        <v>70</v>
      </c>
      <c r="H40" s="101"/>
      <c r="I40" s="97" t="s">
        <v>69</v>
      </c>
      <c r="J40" s="98"/>
    </row>
    <row r="41" spans="1:15" ht="13.5" thickBot="1">
      <c r="B41" s="100"/>
      <c r="C41" s="55" t="s">
        <v>68</v>
      </c>
      <c r="D41" s="56"/>
      <c r="E41" s="55" t="s">
        <v>67</v>
      </c>
      <c r="F41" s="55" t="s">
        <v>67</v>
      </c>
      <c r="G41" s="102"/>
      <c r="H41" s="102"/>
      <c r="I41" s="57" t="s">
        <v>11</v>
      </c>
      <c r="J41" s="58" t="s">
        <v>12</v>
      </c>
    </row>
    <row r="42" spans="1:15">
      <c r="B42" s="70" t="s">
        <v>62</v>
      </c>
      <c r="C42" s="59">
        <v>0</v>
      </c>
      <c r="D42" s="28"/>
      <c r="E42" s="60">
        <f>10.674*($F$7/1000)^1.852/($E$7^1.852*($D$7/1000)^4.871)</f>
        <v>1.0422091949016778E-3</v>
      </c>
      <c r="F42" s="27">
        <f>C42*E42</f>
        <v>0</v>
      </c>
      <c r="G42" s="28"/>
      <c r="H42" s="28"/>
      <c r="I42" s="27">
        <v>34.75</v>
      </c>
      <c r="J42" s="61">
        <f>I42</f>
        <v>34.75</v>
      </c>
    </row>
    <row r="43" spans="1:15">
      <c r="B43" s="71" t="s">
        <v>46</v>
      </c>
      <c r="C43" s="12">
        <v>500</v>
      </c>
      <c r="D43" s="62"/>
      <c r="E43" s="63">
        <f t="shared" ref="E43:E66" si="1">10.674*($F$7/1000)^1.852/($E$7^1.852*($D$7/1000)^4.871)</f>
        <v>1.0422091949016778E-3</v>
      </c>
      <c r="F43" s="12">
        <f t="shared" ref="F43:F66" si="2">C43*E43</f>
        <v>0.52110459745083892</v>
      </c>
      <c r="G43" s="12"/>
      <c r="H43" s="12"/>
      <c r="I43" s="62"/>
      <c r="J43" s="64">
        <f>J42-F43</f>
        <v>34.228895402549163</v>
      </c>
    </row>
    <row r="44" spans="1:15">
      <c r="B44" s="71" t="s">
        <v>71</v>
      </c>
      <c r="C44" s="12">
        <v>880</v>
      </c>
      <c r="D44" s="62"/>
      <c r="E44" s="63">
        <f t="shared" si="1"/>
        <v>1.0422091949016778E-3</v>
      </c>
      <c r="F44" s="12">
        <f t="shared" si="2"/>
        <v>0.91714409151347642</v>
      </c>
      <c r="G44" s="12" t="s">
        <v>72</v>
      </c>
      <c r="H44" s="12">
        <f>B18</f>
        <v>0.15</v>
      </c>
      <c r="I44" s="62"/>
      <c r="J44" s="64">
        <f>$J$42-F44-H44</f>
        <v>33.682855908486523</v>
      </c>
    </row>
    <row r="45" spans="1:15">
      <c r="B45" s="71" t="s">
        <v>47</v>
      </c>
      <c r="C45" s="12">
        <v>1000</v>
      </c>
      <c r="D45" s="62"/>
      <c r="E45" s="63">
        <f t="shared" si="1"/>
        <v>1.0422091949016778E-3</v>
      </c>
      <c r="F45" s="12">
        <f t="shared" si="2"/>
        <v>1.0422091949016778</v>
      </c>
      <c r="G45" s="12"/>
      <c r="H45" s="12"/>
      <c r="I45" s="62"/>
      <c r="J45" s="64">
        <f>J42-F45-H44</f>
        <v>33.557790805098321</v>
      </c>
    </row>
    <row r="46" spans="1:15">
      <c r="B46" s="71" t="s">
        <v>73</v>
      </c>
      <c r="C46" s="12">
        <v>1420</v>
      </c>
      <c r="D46" s="62"/>
      <c r="E46" s="63">
        <f t="shared" si="1"/>
        <v>1.0422091949016778E-3</v>
      </c>
      <c r="F46" s="12">
        <f t="shared" si="2"/>
        <v>1.4799370567603825</v>
      </c>
      <c r="G46" s="12" t="s">
        <v>72</v>
      </c>
      <c r="H46" s="12">
        <f>B18</f>
        <v>0.15</v>
      </c>
      <c r="I46" s="62"/>
      <c r="J46" s="64">
        <f>J42-F46-H44-H46</f>
        <v>32.970062943239618</v>
      </c>
    </row>
    <row r="47" spans="1:15">
      <c r="B47" s="71" t="s">
        <v>48</v>
      </c>
      <c r="C47" s="12">
        <v>1500</v>
      </c>
      <c r="D47" s="62"/>
      <c r="E47" s="63">
        <f t="shared" si="1"/>
        <v>1.0422091949016778E-3</v>
      </c>
      <c r="F47" s="12">
        <f t="shared" si="2"/>
        <v>1.5633137923525167</v>
      </c>
      <c r="G47" s="12"/>
      <c r="H47" s="12"/>
      <c r="I47" s="62"/>
      <c r="J47" s="64">
        <f>J42-F47-H44-H46</f>
        <v>32.886686207647486</v>
      </c>
    </row>
    <row r="48" spans="1:15">
      <c r="B48" s="71" t="s">
        <v>78</v>
      </c>
      <c r="C48" s="12">
        <v>1826</v>
      </c>
      <c r="D48" s="62"/>
      <c r="E48" s="63">
        <f t="shared" si="1"/>
        <v>1.0422091949016778E-3</v>
      </c>
      <c r="F48" s="12">
        <f t="shared" si="2"/>
        <v>1.9030739898904636</v>
      </c>
      <c r="G48" s="12" t="s">
        <v>79</v>
      </c>
      <c r="H48" s="12">
        <f>B17</f>
        <v>0.2</v>
      </c>
      <c r="I48" s="62"/>
      <c r="J48" s="64">
        <f>J42-F48-H44-H46-H48</f>
        <v>32.346926010109534</v>
      </c>
    </row>
    <row r="49" spans="2:10">
      <c r="B49" s="71" t="s">
        <v>49</v>
      </c>
      <c r="C49" s="12">
        <v>2000</v>
      </c>
      <c r="D49" s="62"/>
      <c r="E49" s="63">
        <f t="shared" si="1"/>
        <v>1.0422091949016778E-3</v>
      </c>
      <c r="F49" s="12">
        <f t="shared" si="2"/>
        <v>2.0844183898033557</v>
      </c>
      <c r="G49" s="12"/>
      <c r="H49" s="12"/>
      <c r="I49" s="62"/>
      <c r="J49" s="64">
        <f>J42-F49-H44-H46-H48</f>
        <v>32.165581610196647</v>
      </c>
    </row>
    <row r="50" spans="2:10">
      <c r="B50" s="71" t="s">
        <v>74</v>
      </c>
      <c r="C50" s="12">
        <v>2400</v>
      </c>
      <c r="D50" s="62"/>
      <c r="E50" s="63">
        <f t="shared" si="1"/>
        <v>1.0422091949016778E-3</v>
      </c>
      <c r="F50" s="12">
        <f t="shared" si="2"/>
        <v>2.5013020677640267</v>
      </c>
      <c r="G50" s="12" t="s">
        <v>72</v>
      </c>
      <c r="H50" s="12">
        <f>B18</f>
        <v>0.15</v>
      </c>
      <c r="I50" s="62"/>
      <c r="J50" s="64">
        <f>J42-F50-H44-H46-H48-H50</f>
        <v>31.598697932235975</v>
      </c>
    </row>
    <row r="51" spans="2:10">
      <c r="B51" s="71" t="s">
        <v>50</v>
      </c>
      <c r="C51" s="12">
        <v>2500</v>
      </c>
      <c r="D51" s="62"/>
      <c r="E51" s="63">
        <f t="shared" si="1"/>
        <v>1.0422091949016778E-3</v>
      </c>
      <c r="F51" s="12">
        <f t="shared" si="2"/>
        <v>2.6055229872541945</v>
      </c>
      <c r="G51" s="12"/>
      <c r="H51" s="12"/>
      <c r="I51" s="62"/>
      <c r="J51" s="64">
        <f>J42-F51-H44-H46-H48-H50</f>
        <v>31.494477012745808</v>
      </c>
    </row>
    <row r="52" spans="2:10">
      <c r="B52" s="71" t="s">
        <v>51</v>
      </c>
      <c r="C52" s="12">
        <v>3000</v>
      </c>
      <c r="D52" s="62"/>
      <c r="E52" s="63">
        <f t="shared" si="1"/>
        <v>1.0422091949016778E-3</v>
      </c>
      <c r="F52" s="12">
        <f t="shared" si="2"/>
        <v>3.1266275847050333</v>
      </c>
      <c r="G52" s="12"/>
      <c r="H52" s="12"/>
      <c r="I52" s="62"/>
      <c r="J52" s="64">
        <f>J42-F52-H44-H46-H48-H50</f>
        <v>30.973372415294971</v>
      </c>
    </row>
    <row r="53" spans="2:10">
      <c r="B53" s="71" t="s">
        <v>52</v>
      </c>
      <c r="C53" s="12">
        <v>3500</v>
      </c>
      <c r="D53" s="62"/>
      <c r="E53" s="63">
        <f t="shared" si="1"/>
        <v>1.0422091949016778E-3</v>
      </c>
      <c r="F53" s="12">
        <f t="shared" si="2"/>
        <v>3.6477321821558721</v>
      </c>
      <c r="G53" s="12"/>
      <c r="H53" s="12"/>
      <c r="I53" s="62"/>
      <c r="J53" s="64">
        <f>J42-F53-H44-H46-H48-H50</f>
        <v>30.452267817844135</v>
      </c>
    </row>
    <row r="54" spans="2:10">
      <c r="B54" s="71" t="s">
        <v>75</v>
      </c>
      <c r="C54" s="12">
        <v>4000</v>
      </c>
      <c r="D54" s="62"/>
      <c r="E54" s="63">
        <f t="shared" si="1"/>
        <v>1.0422091949016778E-3</v>
      </c>
      <c r="F54" s="12">
        <f t="shared" si="2"/>
        <v>4.1688367796067114</v>
      </c>
      <c r="G54" s="12"/>
      <c r="H54" s="12"/>
      <c r="I54" s="62"/>
      <c r="J54" s="64">
        <f>J42-F54-H44-H46-H48-H50</f>
        <v>29.931163220393294</v>
      </c>
    </row>
    <row r="55" spans="2:10">
      <c r="B55" s="71" t="s">
        <v>53</v>
      </c>
      <c r="C55" s="12">
        <v>4500</v>
      </c>
      <c r="D55" s="62"/>
      <c r="E55" s="63">
        <f t="shared" si="1"/>
        <v>1.0422091949016778E-3</v>
      </c>
      <c r="F55" s="12">
        <f t="shared" si="2"/>
        <v>4.6899413770575498</v>
      </c>
      <c r="G55" s="12"/>
      <c r="H55" s="12"/>
      <c r="I55" s="62"/>
      <c r="J55" s="64">
        <f>J42-F55-H44-H46-H48-H50</f>
        <v>29.410058622942454</v>
      </c>
    </row>
    <row r="56" spans="2:10">
      <c r="B56" s="71" t="s">
        <v>54</v>
      </c>
      <c r="C56" s="12">
        <v>5000</v>
      </c>
      <c r="D56" s="62"/>
      <c r="E56" s="63">
        <f t="shared" si="1"/>
        <v>1.0422091949016778E-3</v>
      </c>
      <c r="F56" s="12">
        <f t="shared" si="2"/>
        <v>5.211045974508389</v>
      </c>
      <c r="G56" s="12"/>
      <c r="H56" s="12"/>
      <c r="I56" s="62"/>
      <c r="J56" s="64">
        <f>J42-F56-H44-H46-H48-H50</f>
        <v>28.888954025491618</v>
      </c>
    </row>
    <row r="57" spans="2:10">
      <c r="B57" s="71" t="s">
        <v>76</v>
      </c>
      <c r="C57" s="12">
        <v>5216</v>
      </c>
      <c r="D57" s="62"/>
      <c r="E57" s="63">
        <f t="shared" si="1"/>
        <v>1.0422091949016778E-3</v>
      </c>
      <c r="F57" s="12">
        <f t="shared" si="2"/>
        <v>5.4361631606071512</v>
      </c>
      <c r="G57" s="12" t="s">
        <v>72</v>
      </c>
      <c r="H57" s="12">
        <f>B18</f>
        <v>0.15</v>
      </c>
      <c r="I57" s="62"/>
      <c r="J57" s="64">
        <f>J42-F57-H44-H46-H48-H50-H57</f>
        <v>28.513836839392855</v>
      </c>
    </row>
    <row r="58" spans="2:10">
      <c r="B58" s="71" t="s">
        <v>55</v>
      </c>
      <c r="C58" s="12">
        <v>5500</v>
      </c>
      <c r="D58" s="62"/>
      <c r="E58" s="63">
        <f t="shared" si="1"/>
        <v>1.0422091949016778E-3</v>
      </c>
      <c r="F58" s="12">
        <f t="shared" si="2"/>
        <v>5.7321505719592283</v>
      </c>
      <c r="G58" s="12"/>
      <c r="H58" s="12"/>
      <c r="I58" s="62"/>
      <c r="J58" s="64">
        <f>J42-F58-H44-H46-H48-H50-H57</f>
        <v>28.217849428040779</v>
      </c>
    </row>
    <row r="59" spans="2:10">
      <c r="B59" s="71" t="s">
        <v>56</v>
      </c>
      <c r="C59" s="12">
        <v>6000</v>
      </c>
      <c r="D59" s="62"/>
      <c r="E59" s="63">
        <f t="shared" si="1"/>
        <v>1.0422091949016778E-3</v>
      </c>
      <c r="F59" s="12">
        <f t="shared" si="2"/>
        <v>6.2532551694100666</v>
      </c>
      <c r="G59" s="12"/>
      <c r="H59" s="12"/>
      <c r="I59" s="62"/>
      <c r="J59" s="64">
        <f>J42-F59-H44-H46-H48-H50-H57</f>
        <v>27.696744830589939</v>
      </c>
    </row>
    <row r="60" spans="2:10">
      <c r="B60" s="71" t="s">
        <v>65</v>
      </c>
      <c r="C60" s="12">
        <v>6500</v>
      </c>
      <c r="D60" s="62"/>
      <c r="E60" s="63">
        <f t="shared" si="1"/>
        <v>1.0422091949016778E-3</v>
      </c>
      <c r="F60" s="12">
        <f t="shared" si="2"/>
        <v>6.7743597668609059</v>
      </c>
      <c r="G60" s="12"/>
      <c r="H60" s="12"/>
      <c r="I60" s="62"/>
      <c r="J60" s="64">
        <f>J42-F60-H44-H46-H48-H50-H57</f>
        <v>27.175640233139102</v>
      </c>
    </row>
    <row r="61" spans="2:10">
      <c r="B61" s="71" t="s">
        <v>57</v>
      </c>
      <c r="C61" s="12">
        <v>7000</v>
      </c>
      <c r="D61" s="62"/>
      <c r="E61" s="63">
        <f t="shared" si="1"/>
        <v>1.0422091949016778E-3</v>
      </c>
      <c r="F61" s="12">
        <f t="shared" si="2"/>
        <v>7.2954643643117443</v>
      </c>
      <c r="G61" s="12"/>
      <c r="H61" s="12"/>
      <c r="I61" s="62"/>
      <c r="J61" s="64">
        <f>J42-F61-H44-H46-H48-H50-H57</f>
        <v>26.654535635688262</v>
      </c>
    </row>
    <row r="62" spans="2:10">
      <c r="B62" s="71" t="s">
        <v>77</v>
      </c>
      <c r="C62" s="12">
        <v>7084</v>
      </c>
      <c r="D62" s="62"/>
      <c r="E62" s="63">
        <f t="shared" si="1"/>
        <v>1.0422091949016778E-3</v>
      </c>
      <c r="F62" s="12">
        <f t="shared" si="2"/>
        <v>7.3830099366834858</v>
      </c>
      <c r="G62" s="12" t="s">
        <v>72</v>
      </c>
      <c r="H62" s="12">
        <f>B18</f>
        <v>0.15</v>
      </c>
      <c r="I62" s="62"/>
      <c r="J62" s="64">
        <f>J42-F62-H44-H46-H48-H50-H57-H62</f>
        <v>26.416990063316522</v>
      </c>
    </row>
    <row r="63" spans="2:10">
      <c r="B63" s="71" t="s">
        <v>58</v>
      </c>
      <c r="C63" s="12">
        <v>7500</v>
      </c>
      <c r="D63" s="62"/>
      <c r="E63" s="63">
        <f t="shared" si="1"/>
        <v>1.0422091949016778E-3</v>
      </c>
      <c r="F63" s="12">
        <f t="shared" si="2"/>
        <v>7.8165689617625835</v>
      </c>
      <c r="G63" s="12"/>
      <c r="H63" s="12"/>
      <c r="I63" s="62"/>
      <c r="J63" s="64">
        <f>J42-F63-H44-H46-H48-H50-H57-H62</f>
        <v>25.983431038237423</v>
      </c>
    </row>
    <row r="64" spans="2:10">
      <c r="B64" s="71" t="s">
        <v>59</v>
      </c>
      <c r="C64" s="12">
        <v>8000</v>
      </c>
      <c r="D64" s="62"/>
      <c r="E64" s="63">
        <f t="shared" si="1"/>
        <v>1.0422091949016778E-3</v>
      </c>
      <c r="F64" s="12">
        <f t="shared" si="2"/>
        <v>8.3376735592134228</v>
      </c>
      <c r="G64" s="12"/>
      <c r="H64" s="12"/>
      <c r="I64" s="62"/>
      <c r="J64" s="64">
        <f>J42-F64-H44-H46-H48-H50-H57-H62</f>
        <v>25.462326440786587</v>
      </c>
    </row>
    <row r="65" spans="2:15">
      <c r="B65" s="71" t="s">
        <v>60</v>
      </c>
      <c r="C65" s="12">
        <v>8500</v>
      </c>
      <c r="D65" s="62"/>
      <c r="E65" s="63">
        <f t="shared" si="1"/>
        <v>1.0422091949016778E-3</v>
      </c>
      <c r="F65" s="12">
        <f t="shared" si="2"/>
        <v>8.8587781566642612</v>
      </c>
      <c r="G65" s="12"/>
      <c r="H65" s="12"/>
      <c r="I65" s="62"/>
      <c r="J65" s="64">
        <f>J42-F65-H44-H46-H48-H50-H57-H62</f>
        <v>24.941221843335747</v>
      </c>
    </row>
    <row r="66" spans="2:15" ht="15.75" thickBot="1">
      <c r="B66" s="72" t="s">
        <v>66</v>
      </c>
      <c r="C66" s="65">
        <v>8900</v>
      </c>
      <c r="D66" s="66"/>
      <c r="E66" s="67">
        <f t="shared" si="1"/>
        <v>1.0422091949016778E-3</v>
      </c>
      <c r="F66" s="69">
        <f t="shared" si="2"/>
        <v>9.2756618346249322</v>
      </c>
      <c r="G66" s="65"/>
      <c r="H66" s="65">
        <f>E13+E14+E15+E16</f>
        <v>1.6</v>
      </c>
      <c r="I66" s="66"/>
      <c r="J66" s="68">
        <f>J42-F66-H44-H46-H48-H50-H57-H62-H66</f>
        <v>22.924338165375072</v>
      </c>
    </row>
    <row r="67" spans="2:15" ht="13.5" thickTop="1"/>
    <row r="70" spans="2:15">
      <c r="M70" s="43"/>
      <c r="N70" s="43"/>
      <c r="O70" s="43"/>
    </row>
    <row r="71" spans="2:15">
      <c r="M71" s="96" t="s">
        <v>43</v>
      </c>
      <c r="N71" s="96"/>
      <c r="O71" s="96"/>
    </row>
    <row r="72" spans="2:15">
      <c r="M72" s="96" t="s">
        <v>45</v>
      </c>
      <c r="N72" s="96"/>
      <c r="O72" s="96"/>
    </row>
    <row r="73" spans="2:15">
      <c r="M73" s="96" t="s">
        <v>44</v>
      </c>
      <c r="N73" s="96"/>
      <c r="O73" s="96"/>
    </row>
  </sheetData>
  <mergeCells count="25">
    <mergeCell ref="M72:O72"/>
    <mergeCell ref="M73:O73"/>
    <mergeCell ref="A37:O37"/>
    <mergeCell ref="A38:O38"/>
    <mergeCell ref="I40:J40"/>
    <mergeCell ref="B40:B41"/>
    <mergeCell ref="G40:H41"/>
    <mergeCell ref="M71:O71"/>
    <mergeCell ref="H17:K19"/>
    <mergeCell ref="O14:O16"/>
    <mergeCell ref="A26:C26"/>
    <mergeCell ref="A28:C28"/>
    <mergeCell ref="A27:C27"/>
    <mergeCell ref="A1:O1"/>
    <mergeCell ref="A2:O2"/>
    <mergeCell ref="G8:H8"/>
    <mergeCell ref="O5:O6"/>
    <mergeCell ref="G5:H5"/>
    <mergeCell ref="M5:N5"/>
    <mergeCell ref="I5:L5"/>
    <mergeCell ref="A5:B6"/>
    <mergeCell ref="C5:C6"/>
    <mergeCell ref="D5:D6"/>
    <mergeCell ref="E5:E6"/>
    <mergeCell ref="F5:F6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Q72"/>
  <sheetViews>
    <sheetView topLeftCell="A37" workbookViewId="0">
      <selection activeCell="E30" sqref="E30"/>
    </sheetView>
  </sheetViews>
  <sheetFormatPr baseColWidth="10" defaultRowHeight="12.75"/>
  <cols>
    <col min="1" max="1" width="10.28515625" style="1" customWidth="1"/>
    <col min="2" max="2" width="8.42578125" style="1" customWidth="1"/>
    <col min="3" max="4" width="7.28515625" style="1" customWidth="1"/>
    <col min="5" max="5" width="9" style="1" customWidth="1"/>
    <col min="6" max="6" width="8.85546875" style="1" customWidth="1"/>
    <col min="7" max="7" width="7.5703125" style="1" customWidth="1"/>
    <col min="8" max="8" width="7.85546875" style="1" customWidth="1"/>
    <col min="9" max="9" width="9.85546875" style="1" customWidth="1"/>
    <col min="10" max="10" width="12.7109375" style="1" customWidth="1"/>
    <col min="11" max="11" width="6.7109375" style="1" customWidth="1"/>
    <col min="12" max="12" width="8.28515625" style="1" customWidth="1"/>
    <col min="13" max="13" width="14.5703125" style="1" customWidth="1"/>
    <col min="14" max="14" width="8.28515625" style="1" customWidth="1"/>
    <col min="15" max="15" width="10.5703125" style="1" customWidth="1"/>
    <col min="16" max="16384" width="11.42578125" style="1"/>
  </cols>
  <sheetData>
    <row r="1" spans="1:17" ht="18.75">
      <c r="A1" s="78" t="s">
        <v>24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7" ht="18.75">
      <c r="A2" s="78" t="s">
        <v>25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7">
      <c r="A3" s="1" t="s">
        <v>28</v>
      </c>
    </row>
    <row r="4" spans="1:17" ht="13.5" thickBot="1"/>
    <row r="5" spans="1:17" ht="27" customHeight="1" thickTop="1" thickBot="1">
      <c r="A5" s="84" t="s">
        <v>0</v>
      </c>
      <c r="B5" s="84"/>
      <c r="C5" s="84" t="s">
        <v>1</v>
      </c>
      <c r="D5" s="84" t="s">
        <v>2</v>
      </c>
      <c r="E5" s="84" t="s">
        <v>3</v>
      </c>
      <c r="F5" s="84" t="s">
        <v>4</v>
      </c>
      <c r="G5" s="83" t="s">
        <v>5</v>
      </c>
      <c r="H5" s="83"/>
      <c r="I5" s="83" t="s">
        <v>6</v>
      </c>
      <c r="J5" s="83"/>
      <c r="K5" s="83"/>
      <c r="L5" s="83"/>
      <c r="M5" s="83" t="s">
        <v>10</v>
      </c>
      <c r="N5" s="83"/>
      <c r="O5" s="81" t="s">
        <v>15</v>
      </c>
    </row>
    <row r="6" spans="1:17" ht="14.25" thickTop="1" thickBot="1">
      <c r="A6" s="85"/>
      <c r="B6" s="85"/>
      <c r="C6" s="85"/>
      <c r="D6" s="85"/>
      <c r="E6" s="85"/>
      <c r="F6" s="85"/>
      <c r="G6" s="3" t="s">
        <v>11</v>
      </c>
      <c r="H6" s="3" t="s">
        <v>12</v>
      </c>
      <c r="I6" s="3" t="s">
        <v>13</v>
      </c>
      <c r="J6" s="3" t="s">
        <v>7</v>
      </c>
      <c r="K6" s="3" t="s">
        <v>39</v>
      </c>
      <c r="L6" s="3" t="s">
        <v>9</v>
      </c>
      <c r="M6" s="3" t="s">
        <v>11</v>
      </c>
      <c r="N6" s="3" t="s">
        <v>12</v>
      </c>
      <c r="O6" s="82"/>
    </row>
    <row r="7" spans="1:17" ht="13.5" thickTop="1">
      <c r="A7" s="4" t="s">
        <v>14</v>
      </c>
      <c r="B7" s="5" t="s">
        <v>23</v>
      </c>
      <c r="C7" s="5">
        <v>8900</v>
      </c>
      <c r="D7" s="5">
        <v>355</v>
      </c>
      <c r="E7" s="5">
        <v>150</v>
      </c>
      <c r="F7" s="24">
        <f>M19</f>
        <v>49.108333333333334</v>
      </c>
      <c r="G7" s="6">
        <v>9.4</v>
      </c>
      <c r="H7" s="5">
        <v>21.1</v>
      </c>
      <c r="I7" s="5">
        <f>10.674*(F7/1000)^1.852/(E7^1.852*(D7/1000)^4.871)</f>
        <v>5.8218806787390645E-4</v>
      </c>
      <c r="J7" s="6">
        <f>I7*C7</f>
        <v>5.1814738040777675</v>
      </c>
      <c r="K7" s="5">
        <f>E19</f>
        <v>2.5499999999999998</v>
      </c>
      <c r="L7" s="6">
        <f>J7+K7</f>
        <v>7.7314738040777673</v>
      </c>
      <c r="M7" s="5">
        <v>34.75</v>
      </c>
      <c r="N7" s="6">
        <f>M7-L7</f>
        <v>27.018526195922234</v>
      </c>
      <c r="O7" s="44">
        <f>N7-H7</f>
        <v>5.9185261959222331</v>
      </c>
    </row>
    <row r="8" spans="1:17" ht="13.5" thickBot="1">
      <c r="A8" s="7"/>
      <c r="B8" s="8"/>
      <c r="C8" s="8"/>
      <c r="D8" s="8"/>
      <c r="E8" s="8"/>
      <c r="F8" s="8"/>
      <c r="G8" s="79" t="s">
        <v>29</v>
      </c>
      <c r="H8" s="80"/>
      <c r="I8" s="16">
        <v>0.7</v>
      </c>
      <c r="J8" s="8"/>
      <c r="K8" s="8"/>
      <c r="L8" s="8"/>
      <c r="M8" s="8"/>
      <c r="N8" s="8"/>
      <c r="O8" s="45">
        <f>O7-I8</f>
        <v>5.2185261959222329</v>
      </c>
    </row>
    <row r="9" spans="1:17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7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7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7" ht="13.5" thickBot="1">
      <c r="A12" s="9" t="s">
        <v>8</v>
      </c>
      <c r="B12" s="10" t="s">
        <v>26</v>
      </c>
      <c r="C12" s="10" t="s">
        <v>17</v>
      </c>
      <c r="D12" s="10"/>
      <c r="E12" s="10" t="s">
        <v>9</v>
      </c>
      <c r="F12" s="2"/>
      <c r="G12" s="2"/>
      <c r="H12" s="2"/>
      <c r="I12" s="2"/>
      <c r="J12" s="2"/>
      <c r="K12" s="2"/>
      <c r="L12" s="26"/>
      <c r="Q12" s="2"/>
    </row>
    <row r="13" spans="1:17">
      <c r="A13" s="11" t="s">
        <v>16</v>
      </c>
      <c r="B13" s="11">
        <v>0.2</v>
      </c>
      <c r="C13" s="11">
        <v>3</v>
      </c>
      <c r="D13" s="11"/>
      <c r="E13" s="11">
        <f>C13*B13</f>
        <v>0.60000000000000009</v>
      </c>
      <c r="F13" s="2"/>
      <c r="G13" s="2"/>
      <c r="H13" s="42" t="s">
        <v>34</v>
      </c>
      <c r="I13" s="34"/>
      <c r="J13" s="34"/>
      <c r="K13" s="27">
        <v>23572</v>
      </c>
      <c r="L13" s="27" t="s">
        <v>35</v>
      </c>
      <c r="M13" s="103"/>
      <c r="N13" s="104"/>
    </row>
    <row r="14" spans="1:17">
      <c r="A14" s="12" t="s">
        <v>18</v>
      </c>
      <c r="B14" s="12"/>
      <c r="C14" s="12">
        <v>4</v>
      </c>
      <c r="D14" s="12"/>
      <c r="E14" s="12">
        <f>C14*B14</f>
        <v>0</v>
      </c>
      <c r="F14" s="2"/>
      <c r="G14" s="2"/>
      <c r="H14" s="36" t="s">
        <v>40</v>
      </c>
      <c r="I14" s="37"/>
      <c r="J14" s="37"/>
      <c r="K14" s="12">
        <v>120</v>
      </c>
      <c r="L14" s="12" t="s">
        <v>32</v>
      </c>
      <c r="M14" s="30">
        <f>K13*K14</f>
        <v>2828640</v>
      </c>
      <c r="N14" s="31" t="s">
        <v>36</v>
      </c>
      <c r="O14" s="95" t="s">
        <v>41</v>
      </c>
    </row>
    <row r="15" spans="1:17">
      <c r="A15" s="12" t="s">
        <v>19</v>
      </c>
      <c r="B15" s="12">
        <v>0.2</v>
      </c>
      <c r="C15" s="12">
        <v>3</v>
      </c>
      <c r="D15" s="12"/>
      <c r="E15" s="12">
        <f>C15*B15</f>
        <v>0.60000000000000009</v>
      </c>
      <c r="F15" s="2"/>
      <c r="G15" s="2"/>
      <c r="H15" s="36" t="s">
        <v>30</v>
      </c>
      <c r="I15" s="37"/>
      <c r="J15" s="37"/>
      <c r="K15" s="12">
        <v>2</v>
      </c>
      <c r="L15" s="12" t="s">
        <v>33</v>
      </c>
      <c r="M15" s="30">
        <f>K13*K15*25</f>
        <v>1178600</v>
      </c>
      <c r="N15" s="31" t="s">
        <v>36</v>
      </c>
      <c r="O15" s="95"/>
    </row>
    <row r="16" spans="1:17" ht="13.5" thickBot="1">
      <c r="A16" s="12" t="s">
        <v>20</v>
      </c>
      <c r="B16" s="12">
        <v>0.4</v>
      </c>
      <c r="C16" s="12">
        <v>1</v>
      </c>
      <c r="D16" s="12"/>
      <c r="E16" s="12">
        <f>C16*B16</f>
        <v>0.4</v>
      </c>
      <c r="F16" s="2"/>
      <c r="G16" s="2"/>
      <c r="H16" s="46" t="s">
        <v>31</v>
      </c>
      <c r="I16" s="47"/>
      <c r="J16" s="47"/>
      <c r="K16" s="14">
        <v>10</v>
      </c>
      <c r="L16" s="8" t="s">
        <v>32</v>
      </c>
      <c r="M16" s="32">
        <f>K13*K16</f>
        <v>235720</v>
      </c>
      <c r="N16" s="33" t="s">
        <v>36</v>
      </c>
      <c r="O16" s="95"/>
    </row>
    <row r="17" spans="1:14" ht="16.5" thickTop="1" thickBot="1">
      <c r="A17" s="12" t="s">
        <v>21</v>
      </c>
      <c r="B17" s="12">
        <v>0.2</v>
      </c>
      <c r="C17" s="12">
        <v>1</v>
      </c>
      <c r="D17" s="12"/>
      <c r="E17" s="12">
        <f t="shared" ref="E17:E18" si="0">C17*B17</f>
        <v>0.2</v>
      </c>
      <c r="F17" s="2"/>
      <c r="G17" s="2"/>
      <c r="H17" s="105" t="s">
        <v>42</v>
      </c>
      <c r="I17" s="106"/>
      <c r="J17" s="106"/>
      <c r="K17" s="107"/>
      <c r="L17" s="2"/>
      <c r="M17" s="18">
        <f>SUM(M14:M16)</f>
        <v>4242960</v>
      </c>
      <c r="N17" s="19" t="s">
        <v>36</v>
      </c>
    </row>
    <row r="18" spans="1:14" ht="15.75" thickBot="1">
      <c r="A18" s="13" t="s">
        <v>22</v>
      </c>
      <c r="B18" s="13">
        <v>0.15</v>
      </c>
      <c r="C18" s="13">
        <v>5</v>
      </c>
      <c r="D18" s="13"/>
      <c r="E18" s="14">
        <f t="shared" si="0"/>
        <v>0.75</v>
      </c>
      <c r="F18" s="2"/>
      <c r="G18" s="2"/>
      <c r="H18" s="108"/>
      <c r="I18" s="109"/>
      <c r="J18" s="109"/>
      <c r="K18" s="110"/>
      <c r="L18" s="2"/>
      <c r="M18" s="21">
        <f>M17/1000</f>
        <v>4242.96</v>
      </c>
      <c r="N18" s="22" t="s">
        <v>37</v>
      </c>
    </row>
    <row r="19" spans="1:14" ht="15.75" thickBot="1">
      <c r="E19" s="15">
        <f>SUM(E13:E18)</f>
        <v>2.5499999999999998</v>
      </c>
      <c r="F19" s="49" t="s">
        <v>27</v>
      </c>
      <c r="G19" s="2"/>
      <c r="H19" s="111"/>
      <c r="I19" s="112"/>
      <c r="J19" s="112"/>
      <c r="K19" s="113"/>
      <c r="M19" s="23">
        <f>M17/86400</f>
        <v>49.108333333333334</v>
      </c>
      <c r="N19" s="20" t="s">
        <v>38</v>
      </c>
    </row>
    <row r="25" spans="1:14">
      <c r="A25" s="43"/>
      <c r="B25" s="43"/>
      <c r="C25" s="43"/>
    </row>
    <row r="26" spans="1:14">
      <c r="A26" s="96" t="s">
        <v>43</v>
      </c>
      <c r="B26" s="96"/>
      <c r="C26" s="96"/>
    </row>
    <row r="27" spans="1:14">
      <c r="A27" s="96" t="s">
        <v>45</v>
      </c>
      <c r="B27" s="96"/>
      <c r="C27" s="96"/>
    </row>
    <row r="28" spans="1:14">
      <c r="A28" s="96" t="s">
        <v>44</v>
      </c>
      <c r="B28" s="96"/>
      <c r="C28" s="96"/>
    </row>
    <row r="38" spans="2:12" ht="13.5" thickBot="1"/>
    <row r="39" spans="2:12" ht="12.75" customHeight="1">
      <c r="B39" s="99" t="s">
        <v>80</v>
      </c>
      <c r="C39" s="52" t="s">
        <v>64</v>
      </c>
      <c r="D39" s="53"/>
      <c r="E39" s="52" t="s">
        <v>61</v>
      </c>
      <c r="F39" s="54" t="s">
        <v>63</v>
      </c>
      <c r="G39" s="101" t="s">
        <v>70</v>
      </c>
      <c r="H39" s="101"/>
      <c r="I39" s="97" t="s">
        <v>69</v>
      </c>
      <c r="J39" s="98"/>
    </row>
    <row r="40" spans="2:12" ht="15.75" customHeight="1" thickBot="1">
      <c r="B40" s="100"/>
      <c r="C40" s="55" t="s">
        <v>68</v>
      </c>
      <c r="D40" s="56"/>
      <c r="E40" s="55" t="s">
        <v>67</v>
      </c>
      <c r="F40" s="55" t="s">
        <v>67</v>
      </c>
      <c r="G40" s="102"/>
      <c r="H40" s="102"/>
      <c r="I40" s="57" t="s">
        <v>11</v>
      </c>
      <c r="J40" s="58" t="s">
        <v>12</v>
      </c>
    </row>
    <row r="41" spans="2:12">
      <c r="B41" s="70" t="s">
        <v>62</v>
      </c>
      <c r="C41" s="59">
        <v>0</v>
      </c>
      <c r="D41" s="28"/>
      <c r="E41" s="60">
        <f>10.674*($F$7/1000)^1.852/($E$7^1.852*($D$7/1000)^4.871)</f>
        <v>5.8218806787390645E-4</v>
      </c>
      <c r="F41" s="27">
        <f>C41*E41</f>
        <v>0</v>
      </c>
      <c r="G41" s="28"/>
      <c r="H41" s="28"/>
      <c r="I41" s="27">
        <v>34.75</v>
      </c>
      <c r="J41" s="61">
        <f>I41</f>
        <v>34.75</v>
      </c>
    </row>
    <row r="42" spans="2:12">
      <c r="B42" s="71" t="s">
        <v>46</v>
      </c>
      <c r="C42" s="12">
        <v>500</v>
      </c>
      <c r="D42" s="62"/>
      <c r="E42" s="63">
        <f t="shared" ref="E42:E65" si="1">10.674*($F$7/1000)^1.852/($E$7^1.852*($D$7/1000)^4.871)</f>
        <v>5.8218806787390645E-4</v>
      </c>
      <c r="F42" s="12">
        <f t="shared" ref="F42:F65" si="2">C42*E42</f>
        <v>0.29109403393695321</v>
      </c>
      <c r="G42" s="12"/>
      <c r="H42" s="12"/>
      <c r="I42" s="62"/>
      <c r="J42" s="64">
        <f>J41-F42</f>
        <v>34.45890596606305</v>
      </c>
      <c r="L42" s="50"/>
    </row>
    <row r="43" spans="2:12">
      <c r="B43" s="71" t="s">
        <v>71</v>
      </c>
      <c r="C43" s="12">
        <v>880</v>
      </c>
      <c r="D43" s="62"/>
      <c r="E43" s="63">
        <f t="shared" si="1"/>
        <v>5.8218806787390645E-4</v>
      </c>
      <c r="F43" s="12">
        <f t="shared" si="2"/>
        <v>0.51232549972903763</v>
      </c>
      <c r="G43" s="12" t="s">
        <v>72</v>
      </c>
      <c r="H43" s="12">
        <f>B18</f>
        <v>0.15</v>
      </c>
      <c r="I43" s="62"/>
      <c r="J43" s="64">
        <f>$J$41-F43-H43</f>
        <v>34.087674500270964</v>
      </c>
    </row>
    <row r="44" spans="2:12">
      <c r="B44" s="71" t="s">
        <v>47</v>
      </c>
      <c r="C44" s="12">
        <v>1000</v>
      </c>
      <c r="D44" s="62"/>
      <c r="E44" s="63">
        <f t="shared" si="1"/>
        <v>5.8218806787390645E-4</v>
      </c>
      <c r="F44" s="12">
        <f t="shared" si="2"/>
        <v>0.58218806787390642</v>
      </c>
      <c r="G44" s="12"/>
      <c r="H44" s="12"/>
      <c r="I44" s="62"/>
      <c r="J44" s="64">
        <f>J41-F44-H43</f>
        <v>34.017811932126094</v>
      </c>
    </row>
    <row r="45" spans="2:12">
      <c r="B45" s="71" t="s">
        <v>73</v>
      </c>
      <c r="C45" s="12">
        <v>1420</v>
      </c>
      <c r="D45" s="62"/>
      <c r="E45" s="63">
        <f t="shared" si="1"/>
        <v>5.8218806787390645E-4</v>
      </c>
      <c r="F45" s="12">
        <f t="shared" si="2"/>
        <v>0.82670705638094721</v>
      </c>
      <c r="G45" s="12" t="s">
        <v>72</v>
      </c>
      <c r="H45" s="12">
        <f>B18</f>
        <v>0.15</v>
      </c>
      <c r="I45" s="62"/>
      <c r="J45" s="64">
        <f>J41-F45-H43-H45</f>
        <v>33.623292943619056</v>
      </c>
    </row>
    <row r="46" spans="2:12">
      <c r="B46" s="71" t="s">
        <v>48</v>
      </c>
      <c r="C46" s="12">
        <v>1500</v>
      </c>
      <c r="D46" s="62"/>
      <c r="E46" s="63">
        <f t="shared" si="1"/>
        <v>5.8218806787390645E-4</v>
      </c>
      <c r="F46" s="12">
        <f t="shared" si="2"/>
        <v>0.87328210181085963</v>
      </c>
      <c r="G46" s="12"/>
      <c r="H46" s="12"/>
      <c r="I46" s="62"/>
      <c r="J46" s="64">
        <f>J41-F46-H43-H45</f>
        <v>33.576717898189145</v>
      </c>
    </row>
    <row r="47" spans="2:12">
      <c r="B47" s="71" t="s">
        <v>78</v>
      </c>
      <c r="C47" s="12">
        <v>1826</v>
      </c>
      <c r="D47" s="62"/>
      <c r="E47" s="63">
        <f t="shared" si="1"/>
        <v>5.8218806787390645E-4</v>
      </c>
      <c r="F47" s="12">
        <f t="shared" si="2"/>
        <v>1.0630754119377532</v>
      </c>
      <c r="G47" s="12" t="s">
        <v>79</v>
      </c>
      <c r="H47" s="12">
        <f>B17</f>
        <v>0.2</v>
      </c>
      <c r="I47" s="62"/>
      <c r="J47" s="64">
        <f>J41-F47-H43-H45-H47</f>
        <v>33.186924588062247</v>
      </c>
    </row>
    <row r="48" spans="2:12">
      <c r="B48" s="71" t="s">
        <v>49</v>
      </c>
      <c r="C48" s="12">
        <v>2000</v>
      </c>
      <c r="D48" s="62"/>
      <c r="E48" s="63">
        <f t="shared" si="1"/>
        <v>5.8218806787390645E-4</v>
      </c>
      <c r="F48" s="12">
        <f t="shared" si="2"/>
        <v>1.1643761357478128</v>
      </c>
      <c r="G48" s="12"/>
      <c r="H48" s="12"/>
      <c r="I48" s="62"/>
      <c r="J48" s="64">
        <f>J41-F48-H43-H45-H47</f>
        <v>33.085623864252184</v>
      </c>
    </row>
    <row r="49" spans="2:10">
      <c r="B49" s="71" t="s">
        <v>74</v>
      </c>
      <c r="C49" s="12">
        <v>2400</v>
      </c>
      <c r="D49" s="62"/>
      <c r="E49" s="63">
        <f t="shared" si="1"/>
        <v>5.8218806787390645E-4</v>
      </c>
      <c r="F49" s="12">
        <f t="shared" si="2"/>
        <v>1.3972513628973755</v>
      </c>
      <c r="G49" s="12" t="s">
        <v>72</v>
      </c>
      <c r="H49" s="12">
        <f>B18</f>
        <v>0.15</v>
      </c>
      <c r="I49" s="62"/>
      <c r="J49" s="64">
        <f>J41-F49-H43-H45-H47-H49</f>
        <v>32.702748637102623</v>
      </c>
    </row>
    <row r="50" spans="2:10">
      <c r="B50" s="71" t="s">
        <v>50</v>
      </c>
      <c r="C50" s="12">
        <v>2500</v>
      </c>
      <c r="D50" s="62"/>
      <c r="E50" s="63">
        <f t="shared" si="1"/>
        <v>5.8218806787390645E-4</v>
      </c>
      <c r="F50" s="12">
        <f t="shared" si="2"/>
        <v>1.4554701696847661</v>
      </c>
      <c r="G50" s="12"/>
      <c r="H50" s="12"/>
      <c r="I50" s="62"/>
      <c r="J50" s="64">
        <f>J41-F50-H43-H45-H47-H49</f>
        <v>32.644529830315236</v>
      </c>
    </row>
    <row r="51" spans="2:10">
      <c r="B51" s="71" t="s">
        <v>51</v>
      </c>
      <c r="C51" s="12">
        <v>3000</v>
      </c>
      <c r="D51" s="62"/>
      <c r="E51" s="63">
        <f t="shared" si="1"/>
        <v>5.8218806787390645E-4</v>
      </c>
      <c r="F51" s="12">
        <f t="shared" si="2"/>
        <v>1.7465642036217193</v>
      </c>
      <c r="G51" s="12"/>
      <c r="H51" s="12"/>
      <c r="I51" s="62"/>
      <c r="J51" s="64">
        <f>J41-F51-H43-H45-H47-H49</f>
        <v>32.353435796378285</v>
      </c>
    </row>
    <row r="52" spans="2:10">
      <c r="B52" s="71" t="s">
        <v>52</v>
      </c>
      <c r="C52" s="12">
        <v>3500</v>
      </c>
      <c r="D52" s="62"/>
      <c r="E52" s="63">
        <f t="shared" si="1"/>
        <v>5.8218806787390645E-4</v>
      </c>
      <c r="F52" s="12">
        <f t="shared" si="2"/>
        <v>2.0376582375586727</v>
      </c>
      <c r="G52" s="12"/>
      <c r="H52" s="12"/>
      <c r="I52" s="62"/>
      <c r="J52" s="64">
        <f>J41-F52-H43-H45-H47-H49</f>
        <v>32.062341762441328</v>
      </c>
    </row>
    <row r="53" spans="2:10">
      <c r="B53" s="71" t="s">
        <v>75</v>
      </c>
      <c r="C53" s="12">
        <v>4000</v>
      </c>
      <c r="D53" s="62"/>
      <c r="E53" s="63">
        <f t="shared" si="1"/>
        <v>5.8218806787390645E-4</v>
      </c>
      <c r="F53" s="12">
        <f t="shared" si="2"/>
        <v>2.3287522714956257</v>
      </c>
      <c r="G53" s="12"/>
      <c r="H53" s="12"/>
      <c r="I53" s="62"/>
      <c r="J53" s="64">
        <f>J41-F53-H43-H45-H47-H49</f>
        <v>31.771247728504381</v>
      </c>
    </row>
    <row r="54" spans="2:10">
      <c r="B54" s="71" t="s">
        <v>53</v>
      </c>
      <c r="C54" s="12">
        <v>4500</v>
      </c>
      <c r="D54" s="62"/>
      <c r="E54" s="63">
        <f t="shared" si="1"/>
        <v>5.8218806787390645E-4</v>
      </c>
      <c r="F54" s="12">
        <f t="shared" si="2"/>
        <v>2.6198463054325791</v>
      </c>
      <c r="G54" s="12"/>
      <c r="H54" s="12"/>
      <c r="I54" s="62"/>
      <c r="J54" s="64">
        <f>J41-F54-H43-H45-H47-H49</f>
        <v>31.480153694567424</v>
      </c>
    </row>
    <row r="55" spans="2:10">
      <c r="B55" s="71" t="s">
        <v>54</v>
      </c>
      <c r="C55" s="12">
        <v>5000</v>
      </c>
      <c r="D55" s="62"/>
      <c r="E55" s="63">
        <f t="shared" si="1"/>
        <v>5.8218806787390645E-4</v>
      </c>
      <c r="F55" s="12">
        <f t="shared" si="2"/>
        <v>2.9109403393695321</v>
      </c>
      <c r="G55" s="12"/>
      <c r="H55" s="12"/>
      <c r="I55" s="62"/>
      <c r="J55" s="64">
        <f>J41-F55-H43-H45-H47-H49</f>
        <v>31.189059660630473</v>
      </c>
    </row>
    <row r="56" spans="2:10">
      <c r="B56" s="71" t="s">
        <v>76</v>
      </c>
      <c r="C56" s="12">
        <v>5216</v>
      </c>
      <c r="D56" s="62"/>
      <c r="E56" s="63">
        <f t="shared" si="1"/>
        <v>5.8218806787390645E-4</v>
      </c>
      <c r="F56" s="12">
        <f t="shared" si="2"/>
        <v>3.0366929620302963</v>
      </c>
      <c r="G56" s="12" t="s">
        <v>72</v>
      </c>
      <c r="H56" s="12">
        <f>B18</f>
        <v>0.15</v>
      </c>
      <c r="I56" s="62"/>
      <c r="J56" s="64">
        <f>J41-F56-H43-H45-H47-H49-H56</f>
        <v>30.913307037969709</v>
      </c>
    </row>
    <row r="57" spans="2:10">
      <c r="B57" s="71" t="s">
        <v>55</v>
      </c>
      <c r="C57" s="12">
        <v>5500</v>
      </c>
      <c r="D57" s="62"/>
      <c r="E57" s="63">
        <f t="shared" si="1"/>
        <v>5.8218806787390645E-4</v>
      </c>
      <c r="F57" s="12">
        <f t="shared" si="2"/>
        <v>3.2020343733064855</v>
      </c>
      <c r="G57" s="12"/>
      <c r="H57" s="12"/>
      <c r="I57" s="62"/>
      <c r="J57" s="64">
        <f>J41-F57-H43-H45-H47-H49-H56</f>
        <v>30.747965626693521</v>
      </c>
    </row>
    <row r="58" spans="2:10">
      <c r="B58" s="71" t="s">
        <v>56</v>
      </c>
      <c r="C58" s="12">
        <v>6000</v>
      </c>
      <c r="D58" s="62"/>
      <c r="E58" s="63">
        <f t="shared" si="1"/>
        <v>5.8218806787390645E-4</v>
      </c>
      <c r="F58" s="12">
        <f t="shared" si="2"/>
        <v>3.4931284072434385</v>
      </c>
      <c r="G58" s="12"/>
      <c r="H58" s="12"/>
      <c r="I58" s="62"/>
      <c r="J58" s="64">
        <f>J41-F58-H43-H45-H47-H49-H56</f>
        <v>30.456871592756567</v>
      </c>
    </row>
    <row r="59" spans="2:10">
      <c r="B59" s="71" t="s">
        <v>65</v>
      </c>
      <c r="C59" s="12">
        <v>6500</v>
      </c>
      <c r="D59" s="62"/>
      <c r="E59" s="63">
        <f t="shared" si="1"/>
        <v>5.8218806787390645E-4</v>
      </c>
      <c r="F59" s="12">
        <f t="shared" si="2"/>
        <v>3.784222441180392</v>
      </c>
      <c r="G59" s="12"/>
      <c r="H59" s="12"/>
      <c r="I59" s="62"/>
      <c r="J59" s="64">
        <f>J41-F59-H43-H45-H47-H49-H56</f>
        <v>30.165777558819613</v>
      </c>
    </row>
    <row r="60" spans="2:10">
      <c r="B60" s="71" t="s">
        <v>57</v>
      </c>
      <c r="C60" s="12">
        <v>7000</v>
      </c>
      <c r="D60" s="62"/>
      <c r="E60" s="63">
        <f t="shared" si="1"/>
        <v>5.8218806787390645E-4</v>
      </c>
      <c r="F60" s="12">
        <f t="shared" si="2"/>
        <v>4.0753164751173454</v>
      </c>
      <c r="G60" s="12"/>
      <c r="H60" s="12"/>
      <c r="I60" s="62"/>
      <c r="J60" s="64">
        <f>J41-F60-H43-H45-H47-H49-H56</f>
        <v>29.874683524882659</v>
      </c>
    </row>
    <row r="61" spans="2:10">
      <c r="B61" s="71" t="s">
        <v>77</v>
      </c>
      <c r="C61" s="12">
        <v>7084</v>
      </c>
      <c r="D61" s="62"/>
      <c r="E61" s="63">
        <f t="shared" si="1"/>
        <v>5.8218806787390645E-4</v>
      </c>
      <c r="F61" s="12">
        <f t="shared" si="2"/>
        <v>4.1242202728187536</v>
      </c>
      <c r="G61" s="12" t="s">
        <v>72</v>
      </c>
      <c r="H61" s="12">
        <f>B18</f>
        <v>0.15</v>
      </c>
      <c r="I61" s="62"/>
      <c r="J61" s="64">
        <f>J41-F61-H43-H45-H47-H49-H56-H61</f>
        <v>29.675779727181254</v>
      </c>
    </row>
    <row r="62" spans="2:10">
      <c r="B62" s="71" t="s">
        <v>58</v>
      </c>
      <c r="C62" s="12">
        <v>7500</v>
      </c>
      <c r="D62" s="62"/>
      <c r="E62" s="63">
        <f t="shared" si="1"/>
        <v>5.8218806787390645E-4</v>
      </c>
      <c r="F62" s="12">
        <f t="shared" si="2"/>
        <v>4.3664105090542984</v>
      </c>
      <c r="G62" s="12"/>
      <c r="H62" s="12"/>
      <c r="I62" s="62"/>
      <c r="J62" s="64">
        <f>J41-F62-H43-H45-H47-H49-H56-H61</f>
        <v>29.43358949094571</v>
      </c>
    </row>
    <row r="63" spans="2:10">
      <c r="B63" s="71" t="s">
        <v>59</v>
      </c>
      <c r="C63" s="12">
        <v>8000</v>
      </c>
      <c r="D63" s="62"/>
      <c r="E63" s="63">
        <f t="shared" si="1"/>
        <v>5.8218806787390645E-4</v>
      </c>
      <c r="F63" s="12">
        <f t="shared" si="2"/>
        <v>4.6575045429912514</v>
      </c>
      <c r="G63" s="12"/>
      <c r="H63" s="12"/>
      <c r="I63" s="62"/>
      <c r="J63" s="64">
        <f>J41-F63-H43-H45-H47-H49-H56-H61</f>
        <v>29.142495457008756</v>
      </c>
    </row>
    <row r="64" spans="2:10">
      <c r="B64" s="71" t="s">
        <v>60</v>
      </c>
      <c r="C64" s="12">
        <v>8500</v>
      </c>
      <c r="D64" s="62"/>
      <c r="E64" s="63">
        <f t="shared" si="1"/>
        <v>5.8218806787390645E-4</v>
      </c>
      <c r="F64" s="12">
        <f t="shared" si="2"/>
        <v>4.9485985769282053</v>
      </c>
      <c r="G64" s="12"/>
      <c r="H64" s="12"/>
      <c r="I64" s="62"/>
      <c r="J64" s="64">
        <f>J41-F64-H43-H45-H47-H49-H56-H61</f>
        <v>28.851401423071803</v>
      </c>
    </row>
    <row r="65" spans="1:13" ht="15.75" thickBot="1">
      <c r="B65" s="72" t="s">
        <v>66</v>
      </c>
      <c r="C65" s="65">
        <v>8900</v>
      </c>
      <c r="D65" s="66"/>
      <c r="E65" s="67">
        <f t="shared" si="1"/>
        <v>5.8218806787390645E-4</v>
      </c>
      <c r="F65" s="69">
        <f t="shared" si="2"/>
        <v>5.1814738040777675</v>
      </c>
      <c r="G65" s="65"/>
      <c r="H65" s="65">
        <f>E13+E14+E15+E16</f>
        <v>1.6</v>
      </c>
      <c r="I65" s="66"/>
      <c r="J65" s="68">
        <f>J41-F65-H43-H45-H47-H49-H56-H61-H65</f>
        <v>27.018526195922238</v>
      </c>
      <c r="L65" s="51"/>
      <c r="M65" s="51"/>
    </row>
    <row r="66" spans="1:13" ht="15.75" thickTop="1">
      <c r="B66"/>
      <c r="C66"/>
      <c r="D66"/>
      <c r="E66"/>
      <c r="F66"/>
      <c r="G66"/>
      <c r="H66"/>
      <c r="I66"/>
      <c r="J66"/>
    </row>
    <row r="69" spans="1:13">
      <c r="A69" s="43"/>
      <c r="B69" s="43"/>
      <c r="C69" s="43"/>
    </row>
    <row r="70" spans="1:13">
      <c r="A70" s="114" t="s">
        <v>43</v>
      </c>
      <c r="B70" s="114"/>
      <c r="C70" s="114"/>
    </row>
    <row r="71" spans="1:13">
      <c r="A71" s="96" t="s">
        <v>45</v>
      </c>
      <c r="B71" s="96"/>
      <c r="C71" s="96"/>
    </row>
    <row r="72" spans="1:13">
      <c r="A72" s="96" t="s">
        <v>44</v>
      </c>
      <c r="B72" s="96"/>
      <c r="C72" s="96"/>
    </row>
  </sheetData>
  <mergeCells count="24">
    <mergeCell ref="A72:C72"/>
    <mergeCell ref="A70:C70"/>
    <mergeCell ref="I39:J39"/>
    <mergeCell ref="G39:H40"/>
    <mergeCell ref="B39:B40"/>
    <mergeCell ref="A71:C71"/>
    <mergeCell ref="A26:C26"/>
    <mergeCell ref="A28:C28"/>
    <mergeCell ref="A27:C27"/>
    <mergeCell ref="O5:O6"/>
    <mergeCell ref="G8:H8"/>
    <mergeCell ref="M13:N13"/>
    <mergeCell ref="O14:O16"/>
    <mergeCell ref="H17:K19"/>
    <mergeCell ref="A1:O1"/>
    <mergeCell ref="A2:O2"/>
    <mergeCell ref="A5:B6"/>
    <mergeCell ref="C5:C6"/>
    <mergeCell ref="D5:D6"/>
    <mergeCell ref="E5:E6"/>
    <mergeCell ref="F5:F6"/>
    <mergeCell ref="G5:H5"/>
    <mergeCell ref="I5:L5"/>
    <mergeCell ref="M5:N5"/>
  </mergeCells>
  <pageMargins left="0.28999999999999998" right="0.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R73"/>
  <sheetViews>
    <sheetView workbookViewId="0">
      <selection activeCell="P16" sqref="P16"/>
    </sheetView>
  </sheetViews>
  <sheetFormatPr baseColWidth="10" defaultRowHeight="12.75"/>
  <cols>
    <col min="1" max="1" width="10.28515625" style="1" customWidth="1"/>
    <col min="2" max="2" width="8.42578125" style="1" customWidth="1"/>
    <col min="3" max="4" width="7.28515625" style="1" customWidth="1"/>
    <col min="5" max="5" width="9" style="1" customWidth="1"/>
    <col min="6" max="6" width="8.85546875" style="1" customWidth="1"/>
    <col min="7" max="7" width="9.7109375" style="1" customWidth="1"/>
    <col min="8" max="8" width="9.140625" style="1" customWidth="1"/>
    <col min="9" max="9" width="9.85546875" style="1" customWidth="1"/>
    <col min="10" max="10" width="10" style="1" customWidth="1"/>
    <col min="11" max="11" width="9.140625" style="1" customWidth="1"/>
    <col min="12" max="12" width="8.42578125" style="1" customWidth="1"/>
    <col min="13" max="13" width="14.85546875" style="1" customWidth="1"/>
    <col min="14" max="14" width="7.85546875" style="1" customWidth="1"/>
    <col min="15" max="15" width="10.42578125" style="1" customWidth="1"/>
    <col min="16" max="16384" width="11.42578125" style="1"/>
  </cols>
  <sheetData>
    <row r="1" spans="1:18" ht="18.75">
      <c r="A1" s="78" t="s">
        <v>24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8" ht="18.75">
      <c r="A2" s="78" t="s">
        <v>25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8">
      <c r="A3" s="1" t="s">
        <v>28</v>
      </c>
    </row>
    <row r="4" spans="1:18" ht="13.5" thickBot="1"/>
    <row r="5" spans="1:18" ht="27" customHeight="1" thickTop="1" thickBot="1">
      <c r="A5" s="84" t="s">
        <v>0</v>
      </c>
      <c r="B5" s="84"/>
      <c r="C5" s="84" t="s">
        <v>1</v>
      </c>
      <c r="D5" s="84" t="s">
        <v>2</v>
      </c>
      <c r="E5" s="84" t="s">
        <v>3</v>
      </c>
      <c r="F5" s="84" t="s">
        <v>4</v>
      </c>
      <c r="G5" s="83" t="s">
        <v>5</v>
      </c>
      <c r="H5" s="83"/>
      <c r="I5" s="83" t="s">
        <v>6</v>
      </c>
      <c r="J5" s="83"/>
      <c r="K5" s="83"/>
      <c r="L5" s="83"/>
      <c r="M5" s="83" t="s">
        <v>10</v>
      </c>
      <c r="N5" s="83"/>
      <c r="O5" s="81" t="s">
        <v>15</v>
      </c>
    </row>
    <row r="6" spans="1:18" ht="14.25" thickTop="1" thickBot="1">
      <c r="A6" s="85"/>
      <c r="B6" s="85"/>
      <c r="C6" s="85"/>
      <c r="D6" s="85"/>
      <c r="E6" s="85"/>
      <c r="F6" s="85"/>
      <c r="G6" s="3" t="s">
        <v>11</v>
      </c>
      <c r="H6" s="3" t="s">
        <v>12</v>
      </c>
      <c r="I6" s="3" t="s">
        <v>13</v>
      </c>
      <c r="J6" s="3" t="s">
        <v>7</v>
      </c>
      <c r="K6" s="3" t="s">
        <v>39</v>
      </c>
      <c r="L6" s="3" t="s">
        <v>9</v>
      </c>
      <c r="M6" s="3" t="s">
        <v>11</v>
      </c>
      <c r="N6" s="3" t="s">
        <v>12</v>
      </c>
      <c r="O6" s="82"/>
    </row>
    <row r="7" spans="1:18" ht="13.5" thickTop="1">
      <c r="A7" s="4" t="s">
        <v>14</v>
      </c>
      <c r="B7" s="5" t="s">
        <v>23</v>
      </c>
      <c r="C7" s="5">
        <v>4500</v>
      </c>
      <c r="D7" s="5">
        <v>250</v>
      </c>
      <c r="E7" s="5">
        <v>150</v>
      </c>
      <c r="F7" s="24">
        <f>M19</f>
        <v>49.108333333333334</v>
      </c>
      <c r="G7" s="6">
        <v>9.4</v>
      </c>
      <c r="H7" s="5">
        <v>8.64</v>
      </c>
      <c r="I7" s="25">
        <f>10.674*(F7/1000)^1.852/(E7^1.852*(D7/1000)^4.871)</f>
        <v>3.2126234543582294E-3</v>
      </c>
      <c r="J7" s="6">
        <f>I7*C7</f>
        <v>14.456805544612033</v>
      </c>
      <c r="K7" s="5">
        <f>E19</f>
        <v>2.5499999999999998</v>
      </c>
      <c r="L7" s="6">
        <f>J7+K7</f>
        <v>17.006805544612032</v>
      </c>
      <c r="M7" s="5">
        <v>34.75</v>
      </c>
      <c r="N7" s="6">
        <f>M7-L7</f>
        <v>17.743194455387968</v>
      </c>
      <c r="O7" s="44">
        <f>N7-H7</f>
        <v>9.1031944553879676</v>
      </c>
    </row>
    <row r="8" spans="1:18" ht="13.5" thickBot="1">
      <c r="A8" s="7"/>
      <c r="B8" s="8"/>
      <c r="C8" s="8"/>
      <c r="D8" s="8"/>
      <c r="E8" s="8"/>
      <c r="F8" s="8"/>
      <c r="G8" s="79" t="s">
        <v>29</v>
      </c>
      <c r="H8" s="80"/>
      <c r="I8" s="16">
        <v>0.7</v>
      </c>
      <c r="J8" s="8"/>
      <c r="K8" s="8"/>
      <c r="L8" s="8"/>
      <c r="M8" s="8"/>
      <c r="N8" s="8"/>
      <c r="O8" s="45">
        <f>O7-I8</f>
        <v>8.4031944553879683</v>
      </c>
    </row>
    <row r="9" spans="1:18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8">
      <c r="A10" s="2"/>
      <c r="B10" s="2"/>
      <c r="C10" s="2">
        <v>8900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R10" s="1">
        <f>29.75-9.4</f>
        <v>20.350000000000001</v>
      </c>
    </row>
    <row r="11" spans="1:18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8" ht="13.5" thickBot="1">
      <c r="A12" s="9" t="s">
        <v>8</v>
      </c>
      <c r="B12" s="10" t="s">
        <v>26</v>
      </c>
      <c r="C12" s="10" t="s">
        <v>17</v>
      </c>
      <c r="D12" s="10"/>
      <c r="E12" s="10" t="s">
        <v>9</v>
      </c>
      <c r="F12" s="2"/>
      <c r="G12" s="2"/>
      <c r="H12" s="2"/>
      <c r="I12" s="2"/>
      <c r="J12" s="2"/>
      <c r="K12" s="2"/>
      <c r="L12" s="2"/>
      <c r="M12" s="2"/>
      <c r="N12" s="2"/>
      <c r="Q12" s="2"/>
    </row>
    <row r="13" spans="1:18">
      <c r="A13" s="11" t="s">
        <v>16</v>
      </c>
      <c r="B13" s="11">
        <v>0.2</v>
      </c>
      <c r="C13" s="11">
        <v>3</v>
      </c>
      <c r="D13" s="11"/>
      <c r="E13" s="11">
        <f>C13*B13</f>
        <v>0.60000000000000009</v>
      </c>
      <c r="F13" s="2"/>
      <c r="G13" s="76"/>
      <c r="H13" s="42" t="s">
        <v>34</v>
      </c>
      <c r="I13" s="34"/>
      <c r="J13" s="35"/>
      <c r="K13" s="27">
        <v>23572</v>
      </c>
      <c r="L13" s="27"/>
      <c r="M13" s="28"/>
      <c r="N13" s="29"/>
    </row>
    <row r="14" spans="1:18">
      <c r="A14" s="12" t="s">
        <v>18</v>
      </c>
      <c r="B14" s="12"/>
      <c r="C14" s="12">
        <v>4</v>
      </c>
      <c r="D14" s="12"/>
      <c r="E14" s="12">
        <f>C14*B14</f>
        <v>0</v>
      </c>
      <c r="F14" s="2"/>
      <c r="G14" s="2"/>
      <c r="H14" s="36" t="s">
        <v>40</v>
      </c>
      <c r="I14" s="37"/>
      <c r="J14" s="38"/>
      <c r="K14" s="12">
        <v>120</v>
      </c>
      <c r="L14" s="12" t="s">
        <v>32</v>
      </c>
      <c r="M14" s="30">
        <f>K13*K14</f>
        <v>2828640</v>
      </c>
      <c r="N14" s="31" t="s">
        <v>36</v>
      </c>
      <c r="O14" s="95" t="s">
        <v>41</v>
      </c>
    </row>
    <row r="15" spans="1:18">
      <c r="A15" s="12" t="s">
        <v>19</v>
      </c>
      <c r="B15" s="12">
        <v>0.2</v>
      </c>
      <c r="C15" s="12">
        <v>3</v>
      </c>
      <c r="D15" s="12"/>
      <c r="E15" s="12">
        <f>C15*B15</f>
        <v>0.60000000000000009</v>
      </c>
      <c r="F15" s="2"/>
      <c r="G15" s="2"/>
      <c r="H15" s="36" t="s">
        <v>30</v>
      </c>
      <c r="I15" s="37"/>
      <c r="J15" s="38"/>
      <c r="K15" s="12">
        <v>2</v>
      </c>
      <c r="L15" s="12" t="s">
        <v>33</v>
      </c>
      <c r="M15" s="30">
        <f>K13*K15*25</f>
        <v>1178600</v>
      </c>
      <c r="N15" s="31" t="s">
        <v>36</v>
      </c>
      <c r="O15" s="95"/>
    </row>
    <row r="16" spans="1:18" ht="13.5" thickBot="1">
      <c r="A16" s="12" t="s">
        <v>20</v>
      </c>
      <c r="B16" s="12">
        <v>0.4</v>
      </c>
      <c r="C16" s="12">
        <v>1</v>
      </c>
      <c r="D16" s="12"/>
      <c r="E16" s="12">
        <f>C16*B16</f>
        <v>0.4</v>
      </c>
      <c r="F16" s="2"/>
      <c r="G16" s="2"/>
      <c r="H16" s="39" t="s">
        <v>31</v>
      </c>
      <c r="I16" s="40"/>
      <c r="J16" s="75"/>
      <c r="K16" s="14">
        <v>10</v>
      </c>
      <c r="L16" s="8" t="s">
        <v>32</v>
      </c>
      <c r="M16" s="32">
        <f>K13*K16</f>
        <v>235720</v>
      </c>
      <c r="N16" s="33" t="s">
        <v>36</v>
      </c>
      <c r="O16" s="95"/>
    </row>
    <row r="17" spans="1:15" ht="16.5" thickTop="1" thickBot="1">
      <c r="A17" s="12" t="s">
        <v>21</v>
      </c>
      <c r="B17" s="12">
        <v>0.2</v>
      </c>
      <c r="C17" s="12">
        <v>1</v>
      </c>
      <c r="D17" s="12"/>
      <c r="E17" s="12">
        <f t="shared" ref="E17:E18" si="0">C17*B17</f>
        <v>0.2</v>
      </c>
      <c r="F17" s="2"/>
      <c r="G17" s="2"/>
      <c r="H17" s="86" t="s">
        <v>42</v>
      </c>
      <c r="I17" s="87"/>
      <c r="J17" s="87"/>
      <c r="K17" s="88"/>
      <c r="L17" s="2"/>
      <c r="M17" s="18">
        <f>SUM(M14:M16)</f>
        <v>4242960</v>
      </c>
      <c r="N17" s="19" t="s">
        <v>36</v>
      </c>
    </row>
    <row r="18" spans="1:15" ht="15.75" thickBot="1">
      <c r="A18" s="13" t="s">
        <v>22</v>
      </c>
      <c r="B18" s="13">
        <v>0.15</v>
      </c>
      <c r="C18" s="13">
        <v>5</v>
      </c>
      <c r="D18" s="13"/>
      <c r="E18" s="14">
        <f t="shared" si="0"/>
        <v>0.75</v>
      </c>
      <c r="F18" s="2"/>
      <c r="G18" s="2"/>
      <c r="H18" s="89"/>
      <c r="I18" s="90"/>
      <c r="J18" s="90"/>
      <c r="K18" s="91"/>
      <c r="L18" s="2"/>
      <c r="M18" s="21">
        <f>M17/1000</f>
        <v>4242.96</v>
      </c>
      <c r="N18" s="22" t="s">
        <v>37</v>
      </c>
    </row>
    <row r="19" spans="1:15" ht="15.75" thickBot="1">
      <c r="E19" s="15">
        <f>SUM(E13:E18)</f>
        <v>2.5499999999999998</v>
      </c>
      <c r="F19" s="49" t="s">
        <v>27</v>
      </c>
      <c r="G19" s="2"/>
      <c r="H19" s="92"/>
      <c r="I19" s="93"/>
      <c r="J19" s="93"/>
      <c r="K19" s="94"/>
      <c r="M19" s="23">
        <f>M17/86400</f>
        <v>49.108333333333334</v>
      </c>
      <c r="N19" s="20" t="s">
        <v>38</v>
      </c>
    </row>
    <row r="25" spans="1:15">
      <c r="A25" s="43"/>
      <c r="B25" s="43"/>
      <c r="C25" s="43"/>
    </row>
    <row r="26" spans="1:15">
      <c r="A26" s="96" t="s">
        <v>43</v>
      </c>
      <c r="B26" s="96"/>
      <c r="C26" s="96"/>
    </row>
    <row r="27" spans="1:15">
      <c r="A27" s="96" t="s">
        <v>45</v>
      </c>
      <c r="B27" s="96"/>
      <c r="C27" s="96"/>
    </row>
    <row r="28" spans="1:15">
      <c r="A28" s="96" t="s">
        <v>44</v>
      </c>
      <c r="B28" s="96"/>
      <c r="C28" s="96"/>
    </row>
    <row r="29" spans="1:15">
      <c r="A29" s="73"/>
      <c r="B29" s="73"/>
      <c r="C29" s="73"/>
    </row>
    <row r="30" spans="1:15">
      <c r="A30" s="73"/>
      <c r="B30" s="73"/>
      <c r="C30" s="73"/>
      <c r="O30" s="1">
        <f>2000-174</f>
        <v>1826</v>
      </c>
    </row>
    <row r="31" spans="1:15">
      <c r="A31" s="73"/>
      <c r="B31" s="73"/>
      <c r="C31" s="73"/>
    </row>
    <row r="32" spans="1:15">
      <c r="A32" s="73"/>
      <c r="B32" s="73"/>
      <c r="C32" s="73"/>
    </row>
    <row r="33" spans="1:15">
      <c r="A33" s="73"/>
      <c r="B33" s="73"/>
      <c r="C33" s="73"/>
    </row>
    <row r="34" spans="1:15">
      <c r="A34" s="73"/>
      <c r="B34" s="73"/>
      <c r="C34" s="73"/>
    </row>
    <row r="37" spans="1:15" ht="18.75">
      <c r="A37" s="78" t="s">
        <v>24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</row>
    <row r="38" spans="1:15" ht="18.75">
      <c r="A38" s="78" t="s">
        <v>25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</row>
    <row r="39" spans="1:15" ht="13.5" thickBot="1"/>
    <row r="40" spans="1:15">
      <c r="B40" s="99" t="s">
        <v>80</v>
      </c>
      <c r="C40" s="52" t="s">
        <v>64</v>
      </c>
      <c r="D40" s="53"/>
      <c r="E40" s="52" t="s">
        <v>61</v>
      </c>
      <c r="F40" s="74" t="s">
        <v>63</v>
      </c>
      <c r="G40" s="101" t="s">
        <v>70</v>
      </c>
      <c r="H40" s="101"/>
      <c r="I40" s="97" t="s">
        <v>69</v>
      </c>
      <c r="J40" s="98"/>
    </row>
    <row r="41" spans="1:15" ht="13.5" thickBot="1">
      <c r="B41" s="100"/>
      <c r="C41" s="55" t="s">
        <v>68</v>
      </c>
      <c r="D41" s="56"/>
      <c r="E41" s="55" t="s">
        <v>67</v>
      </c>
      <c r="F41" s="55" t="s">
        <v>67</v>
      </c>
      <c r="G41" s="102"/>
      <c r="H41" s="102"/>
      <c r="I41" s="57" t="s">
        <v>11</v>
      </c>
      <c r="J41" s="58" t="s">
        <v>12</v>
      </c>
    </row>
    <row r="42" spans="1:15">
      <c r="B42" s="70" t="s">
        <v>62</v>
      </c>
      <c r="C42" s="59">
        <v>0</v>
      </c>
      <c r="D42" s="28"/>
      <c r="E42" s="60">
        <f>10.674*($F$7/1000)^1.852/($E$7^1.852*($D$7/1000)^4.871)</f>
        <v>3.2126234543582294E-3</v>
      </c>
      <c r="F42" s="27">
        <f>C42*E42</f>
        <v>0</v>
      </c>
      <c r="G42" s="28"/>
      <c r="H42" s="28"/>
      <c r="I42" s="27">
        <v>34.75</v>
      </c>
      <c r="J42" s="61">
        <f>I42</f>
        <v>34.75</v>
      </c>
    </row>
    <row r="43" spans="1:15">
      <c r="B43" s="71" t="s">
        <v>46</v>
      </c>
      <c r="C43" s="12">
        <v>500</v>
      </c>
      <c r="D43" s="62"/>
      <c r="E43" s="63">
        <f t="shared" ref="E43:E66" si="1">10.674*($F$7/1000)^1.852/($E$7^1.852*($D$7/1000)^4.871)</f>
        <v>3.2126234543582294E-3</v>
      </c>
      <c r="F43" s="12">
        <f t="shared" ref="F43:F66" si="2">C43*E43</f>
        <v>1.6063117271791147</v>
      </c>
      <c r="G43" s="12"/>
      <c r="H43" s="12"/>
      <c r="I43" s="62"/>
      <c r="J43" s="64">
        <f>J42-F43</f>
        <v>33.143688272820889</v>
      </c>
    </row>
    <row r="44" spans="1:15">
      <c r="B44" s="71" t="s">
        <v>71</v>
      </c>
      <c r="C44" s="12">
        <v>880</v>
      </c>
      <c r="D44" s="62"/>
      <c r="E44" s="63">
        <f t="shared" si="1"/>
        <v>3.2126234543582294E-3</v>
      </c>
      <c r="F44" s="12">
        <f t="shared" si="2"/>
        <v>2.8271086398352416</v>
      </c>
      <c r="G44" s="12" t="s">
        <v>72</v>
      </c>
      <c r="H44" s="12">
        <f>B18</f>
        <v>0.15</v>
      </c>
      <c r="I44" s="62"/>
      <c r="J44" s="64">
        <f>$J$42-F44-H44</f>
        <v>31.77289136016476</v>
      </c>
    </row>
    <row r="45" spans="1:15">
      <c r="B45" s="71" t="s">
        <v>47</v>
      </c>
      <c r="C45" s="12">
        <v>1000</v>
      </c>
      <c r="D45" s="62"/>
      <c r="E45" s="63">
        <f t="shared" si="1"/>
        <v>3.2126234543582294E-3</v>
      </c>
      <c r="F45" s="12">
        <f t="shared" si="2"/>
        <v>3.2126234543582295</v>
      </c>
      <c r="G45" s="12"/>
      <c r="H45" s="12"/>
      <c r="I45" s="62"/>
      <c r="J45" s="64">
        <f>J42-F45-H44</f>
        <v>31.387376545641771</v>
      </c>
    </row>
    <row r="46" spans="1:15">
      <c r="B46" s="71" t="s">
        <v>73</v>
      </c>
      <c r="C46" s="12">
        <v>1420</v>
      </c>
      <c r="D46" s="62"/>
      <c r="E46" s="63">
        <f t="shared" si="1"/>
        <v>3.2126234543582294E-3</v>
      </c>
      <c r="F46" s="12">
        <f t="shared" si="2"/>
        <v>4.5619253051886854</v>
      </c>
      <c r="G46" s="12" t="s">
        <v>72</v>
      </c>
      <c r="H46" s="12">
        <f>B18</f>
        <v>0.15</v>
      </c>
      <c r="I46" s="62"/>
      <c r="J46" s="64">
        <f>J42-F46-H44-H46</f>
        <v>29.888074694811316</v>
      </c>
    </row>
    <row r="47" spans="1:15">
      <c r="B47" s="71" t="s">
        <v>48</v>
      </c>
      <c r="C47" s="12">
        <v>1500</v>
      </c>
      <c r="D47" s="62"/>
      <c r="E47" s="63">
        <f t="shared" si="1"/>
        <v>3.2126234543582294E-3</v>
      </c>
      <c r="F47" s="12">
        <f t="shared" si="2"/>
        <v>4.818935181537344</v>
      </c>
      <c r="G47" s="12"/>
      <c r="H47" s="12"/>
      <c r="I47" s="62"/>
      <c r="J47" s="64">
        <f>J42-F47-H44-H46</f>
        <v>29.631064818462658</v>
      </c>
    </row>
    <row r="48" spans="1:15">
      <c r="B48" s="71" t="s">
        <v>78</v>
      </c>
      <c r="C48" s="12">
        <v>1826</v>
      </c>
      <c r="D48" s="62"/>
      <c r="E48" s="63">
        <f t="shared" si="1"/>
        <v>3.2126234543582294E-3</v>
      </c>
      <c r="F48" s="12">
        <f t="shared" si="2"/>
        <v>5.8662504276581267</v>
      </c>
      <c r="G48" s="12" t="s">
        <v>79</v>
      </c>
      <c r="H48" s="12">
        <f>B17</f>
        <v>0.2</v>
      </c>
      <c r="I48" s="62"/>
      <c r="J48" s="64">
        <f>J42-F48-H44-H46-H48</f>
        <v>28.383749572341877</v>
      </c>
    </row>
    <row r="49" spans="2:16">
      <c r="B49" s="71" t="s">
        <v>49</v>
      </c>
      <c r="C49" s="12">
        <v>2000</v>
      </c>
      <c r="D49" s="62"/>
      <c r="E49" s="63">
        <f t="shared" si="1"/>
        <v>3.2126234543582294E-3</v>
      </c>
      <c r="F49" s="12">
        <f t="shared" si="2"/>
        <v>6.425246908716459</v>
      </c>
      <c r="G49" s="12"/>
      <c r="H49" s="12"/>
      <c r="I49" s="62"/>
      <c r="J49" s="64">
        <f>J42-F49-H44-H46-H48</f>
        <v>27.824753091283544</v>
      </c>
    </row>
    <row r="50" spans="2:16">
      <c r="B50" s="71" t="s">
        <v>74</v>
      </c>
      <c r="C50" s="12">
        <v>2400</v>
      </c>
      <c r="D50" s="62"/>
      <c r="E50" s="63">
        <f t="shared" si="1"/>
        <v>3.2126234543582294E-3</v>
      </c>
      <c r="F50" s="12">
        <f t="shared" si="2"/>
        <v>7.7102962904597501</v>
      </c>
      <c r="G50" s="12" t="s">
        <v>72</v>
      </c>
      <c r="H50" s="12">
        <f>B18</f>
        <v>0.15</v>
      </c>
      <c r="I50" s="62"/>
      <c r="J50" s="64">
        <f>J42-F50-H44-H46-H48-H50</f>
        <v>26.389703709540253</v>
      </c>
    </row>
    <row r="51" spans="2:16">
      <c r="B51" s="71" t="s">
        <v>50</v>
      </c>
      <c r="C51" s="12">
        <v>2500</v>
      </c>
      <c r="D51" s="62"/>
      <c r="E51" s="63">
        <f t="shared" si="1"/>
        <v>3.2126234543582294E-3</v>
      </c>
      <c r="F51" s="12">
        <f t="shared" si="2"/>
        <v>8.0315586358955731</v>
      </c>
      <c r="G51" s="12"/>
      <c r="H51" s="12"/>
      <c r="I51" s="62"/>
      <c r="J51" s="64">
        <f>J42-F51-H44-H46-H48-H50</f>
        <v>26.068441364104434</v>
      </c>
    </row>
    <row r="52" spans="2:16">
      <c r="B52" s="71" t="s">
        <v>51</v>
      </c>
      <c r="C52" s="12">
        <v>3000</v>
      </c>
      <c r="D52" s="62"/>
      <c r="E52" s="63">
        <f t="shared" si="1"/>
        <v>3.2126234543582294E-3</v>
      </c>
      <c r="F52" s="12">
        <f t="shared" si="2"/>
        <v>9.637870363074688</v>
      </c>
      <c r="G52" s="12"/>
      <c r="H52" s="12"/>
      <c r="I52" s="62"/>
      <c r="J52" s="64">
        <f>J42-F52-H44-H46-H48-H50</f>
        <v>24.462129636925315</v>
      </c>
    </row>
    <row r="53" spans="2:16">
      <c r="B53" s="71" t="s">
        <v>52</v>
      </c>
      <c r="C53" s="12">
        <v>3500</v>
      </c>
      <c r="D53" s="62"/>
      <c r="E53" s="63">
        <f t="shared" si="1"/>
        <v>3.2126234543582294E-3</v>
      </c>
      <c r="F53" s="12">
        <f t="shared" si="2"/>
        <v>11.244182090253803</v>
      </c>
      <c r="G53" s="12"/>
      <c r="H53" s="12"/>
      <c r="I53" s="62"/>
      <c r="J53" s="64">
        <f>J42-F53-H44-H46-H48-H50</f>
        <v>22.855817909746204</v>
      </c>
    </row>
    <row r="54" spans="2:16">
      <c r="B54" s="71" t="s">
        <v>75</v>
      </c>
      <c r="C54" s="12">
        <v>4000</v>
      </c>
      <c r="D54" s="62"/>
      <c r="E54" s="63">
        <f t="shared" si="1"/>
        <v>3.2126234543582294E-3</v>
      </c>
      <c r="F54" s="12">
        <f t="shared" si="2"/>
        <v>12.850493817432918</v>
      </c>
      <c r="G54" s="12"/>
      <c r="H54" s="12"/>
      <c r="I54" s="62"/>
      <c r="J54" s="64">
        <f>J42-F54-H44-H46-H48-H50</f>
        <v>21.249506182567085</v>
      </c>
    </row>
    <row r="55" spans="2:16">
      <c r="B55" s="71" t="s">
        <v>53</v>
      </c>
      <c r="C55" s="12">
        <v>4500</v>
      </c>
      <c r="D55" s="62"/>
      <c r="E55" s="63">
        <f t="shared" si="1"/>
        <v>3.2126234543582294E-3</v>
      </c>
      <c r="F55" s="12">
        <f t="shared" si="2"/>
        <v>14.456805544612033</v>
      </c>
      <c r="G55" s="12"/>
      <c r="H55" s="12"/>
      <c r="I55" s="62"/>
      <c r="J55" s="64">
        <f>J42-F55-H44-H46-H48-H50</f>
        <v>19.643194455387974</v>
      </c>
    </row>
    <row r="56" spans="2:16">
      <c r="B56" s="71" t="s">
        <v>54</v>
      </c>
      <c r="C56" s="12">
        <v>5000</v>
      </c>
      <c r="D56" s="62"/>
      <c r="E56" s="63">
        <f t="shared" si="1"/>
        <v>3.2126234543582294E-3</v>
      </c>
      <c r="F56" s="12">
        <f t="shared" si="2"/>
        <v>16.063117271791146</v>
      </c>
      <c r="G56" s="12"/>
      <c r="H56" s="12"/>
      <c r="I56" s="62"/>
      <c r="J56" s="64">
        <f>J42-F56-H44-H46-H48-H50</f>
        <v>18.036882728208859</v>
      </c>
      <c r="O56" s="77">
        <v>8.64</v>
      </c>
    </row>
    <row r="57" spans="2:16">
      <c r="B57" s="71" t="s">
        <v>76</v>
      </c>
      <c r="C57" s="12">
        <v>5216</v>
      </c>
      <c r="D57" s="62"/>
      <c r="E57" s="63">
        <f t="shared" si="1"/>
        <v>3.2126234543582294E-3</v>
      </c>
      <c r="F57" s="12">
        <f t="shared" si="2"/>
        <v>16.757043937932526</v>
      </c>
      <c r="G57" s="12" t="s">
        <v>72</v>
      </c>
      <c r="H57" s="12">
        <f>B18</f>
        <v>0.15</v>
      </c>
      <c r="I57" s="62"/>
      <c r="J57" s="64">
        <f>J42-F57-H44-H46-H48-H50-H57</f>
        <v>17.192956062067481</v>
      </c>
      <c r="O57" s="77">
        <v>7.14</v>
      </c>
    </row>
    <row r="58" spans="2:16">
      <c r="B58" s="71" t="s">
        <v>55</v>
      </c>
      <c r="C58" s="12">
        <v>5500</v>
      </c>
      <c r="D58" s="62"/>
      <c r="E58" s="63">
        <f t="shared" si="1"/>
        <v>3.2126234543582294E-3</v>
      </c>
      <c r="F58" s="12">
        <f t="shared" si="2"/>
        <v>17.669428998970261</v>
      </c>
      <c r="G58" s="12"/>
      <c r="H58" s="12"/>
      <c r="I58" s="62"/>
      <c r="J58" s="64">
        <f>J42-F58-H44-H46-H48-H50-H57</f>
        <v>16.280571001029745</v>
      </c>
      <c r="P58" s="1">
        <f>O56-O57</f>
        <v>1.5000000000000009</v>
      </c>
    </row>
    <row r="59" spans="2:16">
      <c r="B59" s="71" t="s">
        <v>56</v>
      </c>
      <c r="C59" s="12">
        <v>6000</v>
      </c>
      <c r="D59" s="62"/>
      <c r="E59" s="63">
        <f t="shared" si="1"/>
        <v>3.2126234543582294E-3</v>
      </c>
      <c r="F59" s="12">
        <f t="shared" si="2"/>
        <v>19.275740726149376</v>
      </c>
      <c r="G59" s="12"/>
      <c r="H59" s="12"/>
      <c r="I59" s="62"/>
      <c r="J59" s="64">
        <f>J42-F59-H44-H46-H48-H50-H57</f>
        <v>14.674259273850623</v>
      </c>
    </row>
    <row r="60" spans="2:16">
      <c r="B60" s="71" t="s">
        <v>65</v>
      </c>
      <c r="C60" s="12">
        <v>6500</v>
      </c>
      <c r="D60" s="62"/>
      <c r="E60" s="63">
        <f t="shared" si="1"/>
        <v>3.2126234543582294E-3</v>
      </c>
      <c r="F60" s="12">
        <f t="shared" si="2"/>
        <v>20.882052453328491</v>
      </c>
      <c r="G60" s="12"/>
      <c r="H60" s="12"/>
      <c r="I60" s="62"/>
      <c r="J60" s="64">
        <f>J42-F60-H44-H46-H48-H50-H57</f>
        <v>13.067947546671508</v>
      </c>
      <c r="O60" s="1">
        <f>8900-4500</f>
        <v>4400</v>
      </c>
    </row>
    <row r="61" spans="2:16">
      <c r="B61" s="71" t="s">
        <v>57</v>
      </c>
      <c r="C61" s="12">
        <v>7000</v>
      </c>
      <c r="D61" s="62"/>
      <c r="E61" s="63">
        <f t="shared" si="1"/>
        <v>3.2126234543582294E-3</v>
      </c>
      <c r="F61" s="12">
        <f t="shared" si="2"/>
        <v>22.488364180507606</v>
      </c>
      <c r="G61" s="12"/>
      <c r="H61" s="12"/>
      <c r="I61" s="62"/>
      <c r="J61" s="64">
        <f>J42-F61-H44-H46-H48-H50-H57</f>
        <v>11.461635819492393</v>
      </c>
    </row>
    <row r="62" spans="2:16">
      <c r="B62" s="71" t="s">
        <v>77</v>
      </c>
      <c r="C62" s="12">
        <v>7084</v>
      </c>
      <c r="D62" s="62"/>
      <c r="E62" s="63">
        <f t="shared" si="1"/>
        <v>3.2126234543582294E-3</v>
      </c>
      <c r="F62" s="12">
        <f t="shared" si="2"/>
        <v>22.758224550673695</v>
      </c>
      <c r="G62" s="12" t="s">
        <v>72</v>
      </c>
      <c r="H62" s="12">
        <f>B18</f>
        <v>0.15</v>
      </c>
      <c r="I62" s="62"/>
      <c r="J62" s="64">
        <f>J42-F62-H44-H46-H48-H50-H57-H62</f>
        <v>11.041775449326304</v>
      </c>
    </row>
    <row r="63" spans="2:16">
      <c r="B63" s="71" t="s">
        <v>58</v>
      </c>
      <c r="C63" s="12">
        <v>7500</v>
      </c>
      <c r="D63" s="62"/>
      <c r="E63" s="63">
        <f t="shared" si="1"/>
        <v>3.2126234543582294E-3</v>
      </c>
      <c r="F63" s="12">
        <f t="shared" si="2"/>
        <v>24.094675907686721</v>
      </c>
      <c r="G63" s="12"/>
      <c r="H63" s="12"/>
      <c r="I63" s="62"/>
      <c r="J63" s="64">
        <f>J42-F63-H44-H46-H48-H50-H57-H62</f>
        <v>9.705324092313278</v>
      </c>
    </row>
    <row r="64" spans="2:16">
      <c r="B64" s="71" t="s">
        <v>59</v>
      </c>
      <c r="C64" s="12">
        <v>8000</v>
      </c>
      <c r="D64" s="62"/>
      <c r="E64" s="63">
        <f t="shared" si="1"/>
        <v>3.2126234543582294E-3</v>
      </c>
      <c r="F64" s="12">
        <f t="shared" si="2"/>
        <v>25.700987634865836</v>
      </c>
      <c r="G64" s="12"/>
      <c r="H64" s="12"/>
      <c r="I64" s="62"/>
      <c r="J64" s="64">
        <f>J42-F64-H44-H46-H48-H50-H57-H62</f>
        <v>8.099012365134163</v>
      </c>
    </row>
    <row r="65" spans="2:15">
      <c r="B65" s="71" t="s">
        <v>60</v>
      </c>
      <c r="C65" s="12">
        <v>8500</v>
      </c>
      <c r="D65" s="62"/>
      <c r="E65" s="63">
        <f t="shared" si="1"/>
        <v>3.2126234543582294E-3</v>
      </c>
      <c r="F65" s="12">
        <f t="shared" si="2"/>
        <v>27.307299362044951</v>
      </c>
      <c r="G65" s="12"/>
      <c r="H65" s="12"/>
      <c r="I65" s="62"/>
      <c r="J65" s="64">
        <f>J42-F65-H44-H46-H48-H50-H57-H62</f>
        <v>6.4927006379550471</v>
      </c>
    </row>
    <row r="66" spans="2:15" ht="15.75" thickBot="1">
      <c r="B66" s="72" t="s">
        <v>66</v>
      </c>
      <c r="C66" s="65">
        <v>8900</v>
      </c>
      <c r="D66" s="66"/>
      <c r="E66" s="67">
        <f t="shared" si="1"/>
        <v>3.2126234543582294E-3</v>
      </c>
      <c r="F66" s="69">
        <f t="shared" si="2"/>
        <v>28.592348743788243</v>
      </c>
      <c r="G66" s="65"/>
      <c r="H66" s="65">
        <f>E13+E14+E15+E16</f>
        <v>1.6</v>
      </c>
      <c r="I66" s="66"/>
      <c r="J66" s="68">
        <f>J42-F66-H44-H46-H48-H50-H57-H62-H66</f>
        <v>3.6076512562117551</v>
      </c>
    </row>
    <row r="67" spans="2:15" ht="13.5" thickTop="1"/>
    <row r="68" spans="2:15">
      <c r="F68" s="1">
        <v>28.592300000000002</v>
      </c>
    </row>
    <row r="70" spans="2:15">
      <c r="M70" s="43"/>
      <c r="N70" s="43"/>
      <c r="O70" s="43"/>
    </row>
    <row r="71" spans="2:15">
      <c r="M71" s="96" t="s">
        <v>43</v>
      </c>
      <c r="N71" s="96"/>
      <c r="O71" s="96"/>
    </row>
    <row r="72" spans="2:15">
      <c r="M72" s="96" t="s">
        <v>45</v>
      </c>
      <c r="N72" s="96"/>
      <c r="O72" s="96"/>
    </row>
    <row r="73" spans="2:15">
      <c r="M73" s="96" t="s">
        <v>44</v>
      </c>
      <c r="N73" s="96"/>
      <c r="O73" s="96"/>
    </row>
  </sheetData>
  <mergeCells count="25">
    <mergeCell ref="M71:O71"/>
    <mergeCell ref="M72:O72"/>
    <mergeCell ref="M73:O73"/>
    <mergeCell ref="A28:C28"/>
    <mergeCell ref="A37:O37"/>
    <mergeCell ref="A38:O38"/>
    <mergeCell ref="B40:B41"/>
    <mergeCell ref="G40:H41"/>
    <mergeCell ref="I40:J40"/>
    <mergeCell ref="A27:C27"/>
    <mergeCell ref="A1:O1"/>
    <mergeCell ref="A2:O2"/>
    <mergeCell ref="A5:B6"/>
    <mergeCell ref="C5:C6"/>
    <mergeCell ref="D5:D6"/>
    <mergeCell ref="E5:E6"/>
    <mergeCell ref="F5:F6"/>
    <mergeCell ref="G5:H5"/>
    <mergeCell ref="I5:L5"/>
    <mergeCell ref="M5:N5"/>
    <mergeCell ref="O5:O6"/>
    <mergeCell ref="G8:H8"/>
    <mergeCell ref="O14:O16"/>
    <mergeCell ref="H17:K19"/>
    <mergeCell ref="A26:C26"/>
  </mergeCells>
  <pageMargins left="1.07" right="0.70866141732283472" top="1.71" bottom="0.74803149606299213" header="0.31496062992125984" footer="0.31496062992125984"/>
  <pageSetup scale="8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acueducto con 315 mm.</vt:lpstr>
      <vt:lpstr>acueducto con 355 mm.</vt:lpstr>
      <vt:lpstr>acueducto con 250 mm. REBOMBEO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Oscar Romero Jaime</dc:creator>
  <cp:lastModifiedBy>user1</cp:lastModifiedBy>
  <cp:lastPrinted>2012-03-30T20:50:33Z</cp:lastPrinted>
  <dcterms:created xsi:type="dcterms:W3CDTF">2011-03-09T22:36:31Z</dcterms:created>
  <dcterms:modified xsi:type="dcterms:W3CDTF">2012-03-30T20:50:43Z</dcterms:modified>
</cp:coreProperties>
</file>